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8535" windowHeight="8985" activeTab="0"/>
  </bookViews>
  <sheets>
    <sheet name="MainMenu" sheetId="1" r:id="rId1"/>
    <sheet name="InputSheet" sheetId="2" r:id="rId2"/>
    <sheet name="Calcs" sheetId="3" r:id="rId3"/>
    <sheet name="OutputSheet" sheetId="4" r:id="rId4"/>
    <sheet name="TurnSheets" sheetId="5" r:id="rId5"/>
    <sheet name="Data" sheetId="6" r:id="rId6"/>
    <sheet name="XML" sheetId="7" r:id="rId7"/>
  </sheets>
  <definedNames>
    <definedName name="_xlnm.Print_Area" localSheetId="1">'InputSheet'!$A$1:$G$81</definedName>
    <definedName name="_xlnm.Print_Area" localSheetId="4">'TurnSheets'!$A:$IV</definedName>
  </definedNames>
  <calcPr fullCalcOnLoad="1"/>
</workbook>
</file>

<file path=xl/sharedStrings.xml><?xml version="1.0" encoding="utf-8"?>
<sst xmlns="http://schemas.openxmlformats.org/spreadsheetml/2006/main" count="666" uniqueCount="252">
  <si>
    <t>Year</t>
  </si>
  <si>
    <t>Main Menu</t>
  </si>
  <si>
    <t>NOTES</t>
  </si>
  <si>
    <t>The input process is fully menu driven - just fill in data at the prompts.</t>
  </si>
  <si>
    <t>The input from previous runs will automatically be shown in prompts.</t>
  </si>
  <si>
    <t>From:</t>
  </si>
  <si>
    <t>To:</t>
  </si>
  <si>
    <t>County:</t>
  </si>
  <si>
    <t>Analyst:</t>
  </si>
  <si>
    <t>Highway:</t>
  </si>
  <si>
    <t>Intersection:</t>
  </si>
  <si>
    <t>Date:</t>
  </si>
  <si>
    <t>K Factors</t>
  </si>
  <si>
    <t>D Factors</t>
  </si>
  <si>
    <t>Sidestreet</t>
  </si>
  <si>
    <t>Mainline</t>
  </si>
  <si>
    <t>Mainline N/S?</t>
  </si>
  <si>
    <t>interpolate/extrapolate for project years? (Y/N)</t>
  </si>
  <si>
    <t>FSUTMS input?</t>
  </si>
  <si>
    <t>Enter Year and Growth Rates from Base Year:</t>
  </si>
  <si>
    <t>Rate</t>
  </si>
  <si>
    <t xml:space="preserve">Base  </t>
  </si>
  <si>
    <t>(1.0% = 0.01)</t>
  </si>
  <si>
    <t xml:space="preserve">Opening  </t>
  </si>
  <si>
    <t xml:space="preserve">Mid  </t>
  </si>
  <si>
    <t xml:space="preserve">Design  </t>
  </si>
  <si>
    <t>Enter Base Year AADTs for Volume Comparison:</t>
  </si>
  <si>
    <t>From West:</t>
  </si>
  <si>
    <t>From East:</t>
  </si>
  <si>
    <t>From North:</t>
  </si>
  <si>
    <t>From South:</t>
  </si>
  <si>
    <t>EB Approach</t>
  </si>
  <si>
    <t>WB Approach</t>
  </si>
  <si>
    <t>SB Approach</t>
  </si>
  <si>
    <t>NB Approach</t>
  </si>
  <si>
    <t>TOTAL</t>
  </si>
  <si>
    <t>(growth rates are used to calculate other project years)</t>
  </si>
  <si>
    <t>If "No" go to cell C31</t>
  </si>
  <si>
    <t>If "Yes" go to cell C47</t>
  </si>
  <si>
    <t>Enter Project and Model Years</t>
  </si>
  <si>
    <t xml:space="preserve">Model  </t>
  </si>
  <si>
    <t>Enter Base and Model Year AADTs for Volume Comparison:</t>
  </si>
  <si>
    <t xml:space="preserve">(EB THRU) </t>
  </si>
  <si>
    <t xml:space="preserve">(EB LT) </t>
  </si>
  <si>
    <t xml:space="preserve">(EB RT) </t>
  </si>
  <si>
    <t xml:space="preserve">(WB THRU) </t>
  </si>
  <si>
    <t xml:space="preserve">(WB RT) </t>
  </si>
  <si>
    <t xml:space="preserve">(WB LT) </t>
  </si>
  <si>
    <t xml:space="preserve">(SB RT) </t>
  </si>
  <si>
    <t xml:space="preserve">(SB LT) </t>
  </si>
  <si>
    <t xml:space="preserve">(SB THRU) </t>
  </si>
  <si>
    <t xml:space="preserve">(NB LT) </t>
  </si>
  <si>
    <t xml:space="preserve">(NB RT) </t>
  </si>
  <si>
    <t xml:space="preserve">(NB THRU) </t>
  </si>
  <si>
    <t>Desired Closure:</t>
  </si>
  <si>
    <t>West-to-North</t>
  </si>
  <si>
    <t>North-to-West</t>
  </si>
  <si>
    <t>West-to-East</t>
  </si>
  <si>
    <t>West-to-South</t>
  </si>
  <si>
    <t>East-to-North</t>
  </si>
  <si>
    <t>East-to-West</t>
  </si>
  <si>
    <t>East-to-South</t>
  </si>
  <si>
    <t>North-to-East</t>
  </si>
  <si>
    <t>North-to-South</t>
  </si>
  <si>
    <t>South-to-North</t>
  </si>
  <si>
    <t>South-to-West</t>
  </si>
  <si>
    <t>South-to-East</t>
  </si>
  <si>
    <t>1st Guess</t>
  </si>
  <si>
    <t>Turning %'s for</t>
  </si>
  <si>
    <t>AADT Balancing</t>
  </si>
  <si>
    <t>Calculated by Extrapolation using Rates</t>
  </si>
  <si>
    <t>(volumes for other project years are calculated by interpolation)</t>
  </si>
  <si>
    <t>Calculated by Interpolation Using Model Output</t>
  </si>
  <si>
    <t>TURNFLOW - Intersection Turning Movement Program</t>
  </si>
  <si>
    <t xml:space="preserve"> (c) Mark C. Schaefer, May 1988, Version 1.00</t>
  </si>
  <si>
    <t>Modified to Version 4.00, 10/95</t>
  </si>
  <si>
    <t>by Susan C. Newman / Richard Oujevolk - TEI Orlando,FL</t>
  </si>
  <si>
    <t>NOTE TO USERS:</t>
  </si>
  <si>
    <t>PURPOSE:</t>
  </si>
  <si>
    <t xml:space="preserve">This program computes a likely set of intersection turning movements </t>
  </si>
  <si>
    <t>from intersection approach counts and the user's "best guess" of the</t>
  </si>
  <si>
    <t>turning proportions from each approach.</t>
  </si>
  <si>
    <t>REFERENCE:</t>
  </si>
  <si>
    <t>E. Hauer, E. Pagitsas, and B.T. Shin. "Estimation of Turning Flows</t>
  </si>
  <si>
    <t>from Automatic Counts".  Transportation Research Record #795. 1981.</t>
  </si>
  <si>
    <t>Following are the calculations of the algorithm which produce the output summary table.</t>
  </si>
  <si>
    <t xml:space="preserve">The spreadsheet offers no new theory to that proposed in the technical reference identified </t>
  </si>
  <si>
    <t>above.  Users are advised against customizing the spreadsheet since changes may affect</t>
  </si>
  <si>
    <t>the correct functioning of the macros built into the spreadsheet.</t>
  </si>
  <si>
    <t>ORIGINAL</t>
  </si>
  <si>
    <t>ADJUSTED</t>
  </si>
  <si>
    <t>eb A1 =</t>
  </si>
  <si>
    <t>wb A2 =</t>
  </si>
  <si>
    <t>sb A3 =</t>
  </si>
  <si>
    <t>nb A4 =</t>
  </si>
  <si>
    <t>wb B1 =</t>
  </si>
  <si>
    <t>eb B2 =</t>
  </si>
  <si>
    <t>nb B3 =</t>
  </si>
  <si>
    <t>sb B4 =</t>
  </si>
  <si>
    <t>Summarized 1/2 of Calculated AADT</t>
  </si>
  <si>
    <r>
      <t>COMPUTE B</t>
    </r>
    <r>
      <rPr>
        <vertAlign val="subscript"/>
        <sz val="10"/>
        <rFont val="Arial"/>
        <family val="2"/>
      </rPr>
      <t>j</t>
    </r>
  </si>
  <si>
    <r>
      <t>COMPUTE A</t>
    </r>
    <r>
      <rPr>
        <vertAlign val="subscript"/>
        <sz val="10"/>
        <rFont val="Arial"/>
        <family val="2"/>
      </rPr>
      <t>new</t>
    </r>
  </si>
  <si>
    <t>BASE YEAR CALCULATIONS:</t>
  </si>
  <si>
    <t>ADJ. CURRENT</t>
  </si>
  <si>
    <t>ABS(DIFF) &gt;</t>
  </si>
  <si>
    <t xml:space="preserve"> - ANEW =</t>
  </si>
  <si>
    <t>CLOSURE</t>
  </si>
  <si>
    <t>FLAG</t>
  </si>
  <si>
    <t>DIFF</t>
  </si>
  <si>
    <t>ABS(DIFF)</t>
  </si>
  <si>
    <t>(1=TRUE)</t>
  </si>
  <si>
    <t>KEY</t>
  </si>
  <si>
    <t xml:space="preserve">Max of Abs= </t>
  </si>
  <si>
    <t>COMPUTE TURNING MOVEMENTS</t>
  </si>
  <si>
    <r>
      <t>COMPUTE DIFFERENCE A</t>
    </r>
    <r>
      <rPr>
        <i/>
        <vertAlign val="subscript"/>
        <sz val="10"/>
        <rFont val="Arial"/>
        <family val="2"/>
      </rPr>
      <t>current</t>
    </r>
    <r>
      <rPr>
        <i/>
        <sz val="10"/>
        <rFont val="Arial"/>
        <family val="2"/>
      </rPr>
      <t xml:space="preserve"> - A</t>
    </r>
    <r>
      <rPr>
        <i/>
        <vertAlign val="subscript"/>
        <sz val="10"/>
        <rFont val="Arial"/>
        <family val="2"/>
      </rPr>
      <t>new</t>
    </r>
  </si>
  <si>
    <t>Proportion</t>
  </si>
  <si>
    <t>of Total</t>
  </si>
  <si>
    <t>CALCULATED</t>
  </si>
  <si>
    <t>DIFFERENCE</t>
  </si>
  <si>
    <t>Total to West</t>
  </si>
  <si>
    <t>Total to East</t>
  </si>
  <si>
    <t>Total to North</t>
  </si>
  <si>
    <t>Total to South</t>
  </si>
  <si>
    <t>TOTAL:</t>
  </si>
  <si>
    <t>Total from West</t>
  </si>
  <si>
    <t>Total from East</t>
  </si>
  <si>
    <t>Total from North</t>
  </si>
  <si>
    <t>Total from South</t>
  </si>
  <si>
    <t xml:space="preserve"> VISUAL check for user that total link volumes match after calculations</t>
  </si>
  <si>
    <t>FROM &gt; TO</t>
  </si>
  <si>
    <t>FROM</t>
  </si>
  <si>
    <t>VOLUME</t>
  </si>
  <si>
    <t>TO</t>
  </si>
  <si>
    <t>E,N,S</t>
  </si>
  <si>
    <t>W,N,S</t>
  </si>
  <si>
    <t>W,E,S</t>
  </si>
  <si>
    <t>W,E,N</t>
  </si>
  <si>
    <t>U-TURN CHECK</t>
  </si>
  <si>
    <t>NOTE:  Cell E102 must be zero, or the macro generates a "UTURN" error.</t>
  </si>
  <si>
    <t>OPENING YEAR CALCULATIONS:</t>
  </si>
  <si>
    <t>NOTE:  Cell E182 must be zero, or the macro generates a "UTURN" error.</t>
  </si>
  <si>
    <t>MID-YEAR CALCULATIONS:</t>
  </si>
  <si>
    <t>These cells are updated by the macro code - do not protect this range or enter any data in them.</t>
  </si>
  <si>
    <t>NOTE:  Cell E262 must be zero, or the macro generates a "UTURN" error.</t>
  </si>
  <si>
    <t>DESIGN YEAR CALCULATIONS:</t>
  </si>
  <si>
    <t>NOTE:  Cell E342 must be zero, or the macro generates a "UTURN" error.</t>
  </si>
  <si>
    <t>Approach-To-</t>
  </si>
  <si>
    <t xml:space="preserve">Initial </t>
  </si>
  <si>
    <t xml:space="preserve">Final </t>
  </si>
  <si>
    <t xml:space="preserve">Turning </t>
  </si>
  <si>
    <t xml:space="preserve">Calculated </t>
  </si>
  <si>
    <t>Approach</t>
  </si>
  <si>
    <t xml:space="preserve">Estimate </t>
  </si>
  <si>
    <t xml:space="preserve">Volume </t>
  </si>
  <si>
    <t xml:space="preserve"> </t>
  </si>
  <si>
    <t xml:space="preserve">     Total Flow From West:</t>
  </si>
  <si>
    <t xml:space="preserve">     Total Flow From East:</t>
  </si>
  <si>
    <t xml:space="preserve">     Total Flow From North:</t>
  </si>
  <si>
    <t xml:space="preserve">     Total Flow From South:</t>
  </si>
  <si>
    <t>PLEASE NOTE:  These are the Initial Balanced Turning Movements.  They are directional.</t>
  </si>
  <si>
    <t>The volumes as shown in the the output Turning Movement Diagrams have been smoothed to reflect two-way flow.</t>
  </si>
  <si>
    <t>K ML =</t>
  </si>
  <si>
    <t>K SS =</t>
  </si>
  <si>
    <t>Ratio</t>
  </si>
  <si>
    <t>XXXX</t>
  </si>
  <si>
    <t>X.XX</t>
  </si>
  <si>
    <t>(XXX)</t>
  </si>
  <si>
    <t>XXX</t>
  </si>
  <si>
    <t>Manually changing the data on the InputSheet page will NOT invoke the macros.</t>
  </si>
  <si>
    <t>Intersection</t>
  </si>
  <si>
    <t>(2,3,4)</t>
  </si>
  <si>
    <t>Two-Way Selected</t>
  </si>
  <si>
    <t>Three-Way Selected</t>
  </si>
  <si>
    <t>Errors</t>
  </si>
  <si>
    <t xml:space="preserve">Do you have FTSUTMS Model Year traffic from which you would like to </t>
  </si>
  <si>
    <t>Is the Mainline</t>
  </si>
  <si>
    <t>Oriented North/South?</t>
  </si>
  <si>
    <t>Macro Run</t>
  </si>
  <si>
    <t>TURNS5 Turning Movement Analysis Tool</t>
  </si>
  <si>
    <t>TURNS5 ANALYSIS SHEET - INPUT</t>
  </si>
  <si>
    <t xml:space="preserve">TURNS5 INITIAL TURNING  VOLUME  SUMMARY </t>
  </si>
  <si>
    <t>Side Street</t>
  </si>
  <si>
    <t>Rates</t>
  </si>
  <si>
    <t>West-To-North (LT)</t>
  </si>
  <si>
    <t>West-To-East (Thru)</t>
  </si>
  <si>
    <t>West-To-South (RT)</t>
  </si>
  <si>
    <t>East-To-South (LT)</t>
  </si>
  <si>
    <t>East-To-West (Thru)</t>
  </si>
  <si>
    <t>East-To-North (RT)</t>
  </si>
  <si>
    <t>North-To-East (LT)</t>
  </si>
  <si>
    <t>North-To-South (Thru)</t>
  </si>
  <si>
    <t>North-To-West (RT)</t>
  </si>
  <si>
    <t>South-To-West (LT)</t>
  </si>
  <si>
    <t>South-To-North (Thru)</t>
  </si>
  <si>
    <t>South-To-East (RT)</t>
  </si>
  <si>
    <t>Automatic Estimating?</t>
  </si>
  <si>
    <t>(must be done manually)</t>
  </si>
  <si>
    <t>Linear Calcs</t>
  </si>
  <si>
    <t>Exponential Calcs</t>
  </si>
  <si>
    <t>Growth</t>
  </si>
  <si>
    <t>Decaying Exponential (Logarithmic) Calcs</t>
  </si>
  <si>
    <t>y1=a+b*ln x1</t>
  </si>
  <si>
    <t>y2=a+b*ln x2</t>
  </si>
  <si>
    <t>x1=</t>
  </si>
  <si>
    <t>x2=</t>
  </si>
  <si>
    <t>y1=</t>
  </si>
  <si>
    <t>y2=</t>
  </si>
  <si>
    <t>row 110 values</t>
  </si>
  <si>
    <t>row 59 values</t>
  </si>
  <si>
    <t>y2-y1</t>
  </si>
  <si>
    <t>b=(y2-y1)/(ln(x2))</t>
  </si>
  <si>
    <t>b</t>
  </si>
  <si>
    <t>y1=a=</t>
  </si>
  <si>
    <t>1=Linear, 2 = Exponential, 3 = Decaying for ML, side street</t>
  </si>
  <si>
    <t>Linear Rate</t>
  </si>
  <si>
    <t>Out Year (y2)</t>
  </si>
  <si>
    <t>In Year (y1)</t>
  </si>
  <si>
    <t>calc method</t>
  </si>
  <si>
    <t>yes</t>
  </si>
  <si>
    <t>Adapted to Windows 2000, Windows XP, Microsoft Excel2003 by Mike Phillips and Loren Bloomberg CH2M HILL 5/2005</t>
  </si>
  <si>
    <t>Location</t>
  </si>
  <si>
    <t>year</t>
  </si>
  <si>
    <t>k30main</t>
  </si>
  <si>
    <t>k30side</t>
  </si>
  <si>
    <t>EXISTING</t>
  </si>
  <si>
    <t>OPEN</t>
  </si>
  <si>
    <t>DESIGN</t>
  </si>
  <si>
    <t>OWDHTM</t>
  </si>
  <si>
    <t>OWDHTM_NB_T</t>
  </si>
  <si>
    <t>MID</t>
  </si>
  <si>
    <t>OWDHTM_NB_RT</t>
  </si>
  <si>
    <t>OWDHTM_NB_LT</t>
  </si>
  <si>
    <t>One Way Design Hour Turning Movement</t>
  </si>
  <si>
    <t>T</t>
  </si>
  <si>
    <t>Through</t>
  </si>
  <si>
    <t>LT</t>
  </si>
  <si>
    <t>Left Turn</t>
  </si>
  <si>
    <t>RT</t>
  </si>
  <si>
    <t>Right Turn</t>
  </si>
  <si>
    <t>OWDHTM_SB_T</t>
  </si>
  <si>
    <t>OWDHTM_SB_RT</t>
  </si>
  <si>
    <t>OWDHTM_SB_LT</t>
  </si>
  <si>
    <t>OWDHTM_EB_T</t>
  </si>
  <si>
    <t>OWDHTM_EB_RT</t>
  </si>
  <si>
    <t>OWDHTM_EB_LT</t>
  </si>
  <si>
    <t>OWDHTM_WB_T</t>
  </si>
  <si>
    <t>OWDHTM_WB_RT</t>
  </si>
  <si>
    <t>OWDHTM_WB_LT</t>
  </si>
  <si>
    <t>NS_ROADNAME</t>
  </si>
  <si>
    <t>EW_ROADNAME</t>
  </si>
  <si>
    <t>PIN</t>
  </si>
  <si>
    <t>no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</si>
</sst>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$&quot;#,##0"/>
    <numFmt numFmtId="169" formatCode="0.000%"/>
    <numFmt numFmtId="170" formatCode="0.###%"/>
    <numFmt numFmtId="171" formatCode="0.####%"/>
    <numFmt numFmtId="172" formatCode="0.#####%"/>
    <numFmt numFmtId="173" formatCode="0.0000000"/>
    <numFmt numFmtId="174" formatCode="0.00000000"/>
    <numFmt numFmtId="175" formatCode="0.000000000"/>
    <numFmt numFmtId="176" formatCode="0.0000000000"/>
    <numFmt numFmtId="177" formatCode="0.000000"/>
    <numFmt numFmtId="178" formatCode="0.00000"/>
    <numFmt numFmtId="179" formatCode="0_);\(0\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0.00000000000"/>
    <numFmt numFmtId="184" formatCode="0.000000000000"/>
    <numFmt numFmtId="185" formatCode="0.000000000000000000"/>
    <numFmt numFmtId="186" formatCode="0.00000000000000000"/>
    <numFmt numFmtId="187" formatCode="0.0000000000000000000"/>
    <numFmt numFmtId="188" formatCode="0.0000000000000000"/>
    <numFmt numFmtId="189" formatCode="0.000000000000000"/>
    <numFmt numFmtId="190" formatCode="0.00000000000000"/>
    <numFmt numFmtId="191" formatCode="0.0000000000000"/>
  </numFmts>
  <fonts count="6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4"/>
      <name val="Arial"/>
      <family val="2"/>
    </font>
    <font>
      <sz val="10"/>
      <name val="Arial Narrow"/>
      <family val="2"/>
    </font>
    <font>
      <sz val="10"/>
      <color indexed="57"/>
      <name val="Arial Narrow"/>
      <family val="2"/>
    </font>
    <font>
      <b/>
      <sz val="10"/>
      <color indexed="57"/>
      <name val="Arial Narrow"/>
      <family val="2"/>
    </font>
    <font>
      <b/>
      <i/>
      <sz val="10"/>
      <color indexed="57"/>
      <name val="Arial Narrow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 Narrow"/>
      <family val="2"/>
    </font>
    <font>
      <vertAlign val="subscript"/>
      <sz val="10"/>
      <name val="Arial"/>
      <family val="2"/>
    </font>
    <font>
      <sz val="10"/>
      <color indexed="52"/>
      <name val="Arial"/>
      <family val="2"/>
    </font>
    <font>
      <b/>
      <i/>
      <sz val="10"/>
      <color indexed="52"/>
      <name val="Arial"/>
      <family val="2"/>
    </font>
    <font>
      <i/>
      <vertAlign val="subscript"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16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57"/>
      <name val="Arial"/>
      <family val="0"/>
    </font>
    <font>
      <b/>
      <sz val="10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52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 style="double">
        <color indexed="52"/>
      </right>
      <top style="double">
        <color indexed="52"/>
      </top>
      <bottom>
        <color indexed="63"/>
      </bottom>
    </border>
    <border>
      <left style="double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 style="double">
        <color indexed="52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>
        <color indexed="52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5" fontId="0" fillId="0" borderId="10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14" fillId="0" borderId="10" xfId="0" applyNumberFormat="1" applyFont="1" applyBorder="1" applyAlignment="1">
      <alignment horizontal="center"/>
    </xf>
    <xf numFmtId="167" fontId="0" fillId="0" borderId="0" xfId="57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7" fontId="0" fillId="0" borderId="16" xfId="0" applyNumberFormat="1" applyFill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15" fontId="0" fillId="0" borderId="12" xfId="0" applyNumberFormat="1" applyBorder="1" applyAlignment="1">
      <alignment horizontal="left"/>
    </xf>
    <xf numFmtId="15" fontId="0" fillId="0" borderId="10" xfId="0" applyNumberFormat="1" applyBorder="1" applyAlignment="1">
      <alignment horizontal="left"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1" fillId="33" borderId="26" xfId="0" applyFont="1" applyFill="1" applyBorder="1" applyAlignment="1">
      <alignment/>
    </xf>
    <xf numFmtId="1" fontId="20" fillId="33" borderId="27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9" fontId="6" fillId="0" borderId="0" xfId="57" applyFont="1" applyBorder="1" applyAlignment="1">
      <alignment/>
    </xf>
    <xf numFmtId="9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21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22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3" fontId="6" fillId="0" borderId="49" xfId="0" applyNumberFormat="1" applyFont="1" applyBorder="1" applyAlignment="1">
      <alignment/>
    </xf>
    <xf numFmtId="0" fontId="6" fillId="0" borderId="34" xfId="0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/>
    </xf>
    <xf numFmtId="0" fontId="14" fillId="0" borderId="48" xfId="0" applyFont="1" applyBorder="1" applyAlignment="1">
      <alignment horizontal="right"/>
    </xf>
    <xf numFmtId="0" fontId="14" fillId="0" borderId="50" xfId="0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6" fillId="0" borderId="0" xfId="57" applyNumberFormat="1" applyFont="1" applyBorder="1" applyAlignment="1">
      <alignment/>
    </xf>
    <xf numFmtId="2" fontId="6" fillId="0" borderId="0" xfId="57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25" xfId="0" applyNumberFormat="1" applyFont="1" applyBorder="1" applyAlignment="1">
      <alignment horizontal="right"/>
    </xf>
    <xf numFmtId="1" fontId="6" fillId="0" borderId="25" xfId="0" applyNumberFormat="1" applyFont="1" applyBorder="1" applyAlignment="1">
      <alignment horizontal="right"/>
    </xf>
    <xf numFmtId="2" fontId="6" fillId="0" borderId="0" xfId="57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left"/>
    </xf>
    <xf numFmtId="1" fontId="14" fillId="0" borderId="24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1" fontId="6" fillId="0" borderId="24" xfId="0" applyNumberFormat="1" applyFont="1" applyBorder="1" applyAlignment="1">
      <alignment horizontal="left"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" fontId="14" fillId="0" borderId="0" xfId="57" applyNumberFormat="1" applyFont="1" applyBorder="1" applyAlignment="1">
      <alignment horizontal="right"/>
    </xf>
    <xf numFmtId="1" fontId="14" fillId="0" borderId="0" xfId="57" applyNumberFormat="1" applyFont="1" applyBorder="1" applyAlignment="1">
      <alignment horizontal="center"/>
    </xf>
    <xf numFmtId="179" fontId="6" fillId="0" borderId="24" xfId="0" applyNumberFormat="1" applyFont="1" applyBorder="1" applyAlignment="1">
      <alignment horizontal="left"/>
    </xf>
    <xf numFmtId="0" fontId="0" fillId="34" borderId="0" xfId="0" applyFill="1" applyBorder="1" applyAlignment="1">
      <alignment/>
    </xf>
    <xf numFmtId="167" fontId="0" fillId="33" borderId="16" xfId="0" applyNumberFormat="1" applyFill="1" applyBorder="1" applyAlignment="1" applyProtection="1">
      <alignment horizontal="center"/>
      <protection locked="0"/>
    </xf>
    <xf numFmtId="10" fontId="0" fillId="33" borderId="16" xfId="0" applyNumberForma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 applyProtection="1">
      <alignment horizontal="center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35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9" fontId="0" fillId="0" borderId="0" xfId="57" applyFont="1" applyAlignment="1">
      <alignment horizontal="center"/>
    </xf>
    <xf numFmtId="9" fontId="0" fillId="33" borderId="16" xfId="57" applyFont="1" applyFill="1" applyBorder="1" applyAlignment="1" applyProtection="1">
      <alignment horizontal="center"/>
      <protection locked="0"/>
    </xf>
    <xf numFmtId="9" fontId="0" fillId="33" borderId="16" xfId="57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3" fontId="14" fillId="0" borderId="0" xfId="0" applyNumberFormat="1" applyFont="1" applyBorder="1" applyAlignment="1">
      <alignment horizontal="center" vertical="center" wrapText="1"/>
    </xf>
    <xf numFmtId="9" fontId="0" fillId="0" borderId="0" xfId="57" applyFont="1" applyAlignment="1" applyProtection="1">
      <alignment horizontal="center"/>
      <protection locked="0"/>
    </xf>
    <xf numFmtId="1" fontId="1" fillId="0" borderId="38" xfId="0" applyNumberFormat="1" applyFont="1" applyBorder="1" applyAlignment="1">
      <alignment horizontal="center"/>
    </xf>
    <xf numFmtId="179" fontId="6" fillId="0" borderId="25" xfId="0" applyNumberFormat="1" applyFont="1" applyBorder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180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42" applyNumberFormat="1" applyFont="1" applyAlignment="1">
      <alignment horizontal="center"/>
    </xf>
    <xf numFmtId="167" fontId="0" fillId="0" borderId="16" xfId="0" applyNumberFormat="1" applyFill="1" applyBorder="1" applyAlignment="1" applyProtection="1">
      <alignment horizontal="center"/>
      <protection locked="0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5" fillId="36" borderId="0" xfId="0" applyFont="1" applyFill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25" fillId="36" borderId="0" xfId="0" applyFont="1" applyFill="1" applyAlignment="1">
      <alignment horizontal="center" wrapText="1"/>
    </xf>
    <xf numFmtId="10" fontId="0" fillId="33" borderId="52" xfId="0" applyNumberFormat="1" applyFill="1" applyBorder="1" applyAlignment="1" applyProtection="1">
      <alignment horizontal="center" vertical="center"/>
      <protection locked="0"/>
    </xf>
    <xf numFmtId="10" fontId="0" fillId="33" borderId="53" xfId="0" applyNumberFormat="1" applyFill="1" applyBorder="1" applyAlignment="1" applyProtection="1">
      <alignment horizontal="center" vertical="center"/>
      <protection locked="0"/>
    </xf>
    <xf numFmtId="10" fontId="0" fillId="33" borderId="54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20" fillId="33" borderId="63" xfId="0" applyNumberFormat="1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1" fontId="20" fillId="33" borderId="64" xfId="0" applyNumberFormat="1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0" fillId="33" borderId="65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10" fontId="14" fillId="0" borderId="49" xfId="0" applyNumberFormat="1" applyFont="1" applyBorder="1" applyAlignment="1">
      <alignment horizontal="center"/>
    </xf>
    <xf numFmtId="10" fontId="14" fillId="0" borderId="51" xfId="0" applyNumberFormat="1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center" vertical="center" wrapText="1"/>
    </xf>
    <xf numFmtId="179" fontId="14" fillId="0" borderId="0" xfId="42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right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3" fillId="0" borderId="0" xfId="0" applyFont="1" applyAlignment="1">
      <alignment horizontal="center"/>
    </xf>
    <xf numFmtId="10" fontId="14" fillId="0" borderId="21" xfId="0" applyNumberFormat="1" applyFont="1" applyBorder="1" applyAlignment="1">
      <alignment horizontal="center"/>
    </xf>
    <xf numFmtId="10" fontId="14" fillId="0" borderId="2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</xdr:row>
      <xdr:rowOff>19050</xdr:rowOff>
    </xdr:from>
    <xdr:to>
      <xdr:col>8</xdr:col>
      <xdr:colOff>247650</xdr:colOff>
      <xdr:row>8</xdr:row>
      <xdr:rowOff>19050</xdr:rowOff>
    </xdr:to>
    <xdr:sp>
      <xdr:nvSpPr>
        <xdr:cNvPr id="1" name="Line 10"/>
        <xdr:cNvSpPr>
          <a:spLocks/>
        </xdr:cNvSpPr>
      </xdr:nvSpPr>
      <xdr:spPr>
        <a:xfrm>
          <a:off x="876300" y="1400175"/>
          <a:ext cx="3867150" cy="0"/>
        </a:xfrm>
        <a:prstGeom prst="line">
          <a:avLst/>
        </a:prstGeom>
        <a:noFill/>
        <a:ln w="57150" cmpd="thinThick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142875</xdr:colOff>
      <xdr:row>3</xdr:row>
      <xdr:rowOff>57150</xdr:rowOff>
    </xdr:from>
    <xdr:ext cx="638175" cy="561975"/>
    <xdr:sp>
      <xdr:nvSpPr>
        <xdr:cNvPr id="2" name="Text Box 12"/>
        <xdr:cNvSpPr txBox="1">
          <a:spLocks noChangeArrowheads="1"/>
        </xdr:cNvSpPr>
      </xdr:nvSpPr>
      <xdr:spPr>
        <a:xfrm>
          <a:off x="752475" y="628650"/>
          <a:ext cx="6381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Enter Input</a:t>
          </a:r>
        </a:p>
      </xdr:txBody>
    </xdr:sp>
    <xdr:clientData/>
  </xdr:oneCellAnchor>
  <xdr:oneCellAnchor>
    <xdr:from>
      <xdr:col>1</xdr:col>
      <xdr:colOff>66675</xdr:colOff>
      <xdr:row>17</xdr:row>
      <xdr:rowOff>19050</xdr:rowOff>
    </xdr:from>
    <xdr:ext cx="952500" cy="533400"/>
    <xdr:sp>
      <xdr:nvSpPr>
        <xdr:cNvPr id="3" name="Text Box 13"/>
        <xdr:cNvSpPr txBox="1">
          <a:spLocks noChangeArrowheads="1"/>
        </xdr:cNvSpPr>
      </xdr:nvSpPr>
      <xdr:spPr>
        <a:xfrm>
          <a:off x="676275" y="2857500"/>
          <a:ext cx="952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Prepare Output</a:t>
          </a:r>
        </a:p>
      </xdr:txBody>
    </xdr:sp>
    <xdr:clientData/>
  </xdr:oneCellAnchor>
  <xdr:twoCellAnchor>
    <xdr:from>
      <xdr:col>1</xdr:col>
      <xdr:colOff>266700</xdr:colOff>
      <xdr:row>13</xdr:row>
      <xdr:rowOff>28575</xdr:rowOff>
    </xdr:from>
    <xdr:to>
      <xdr:col>8</xdr:col>
      <xdr:colOff>247650</xdr:colOff>
      <xdr:row>13</xdr:row>
      <xdr:rowOff>28575</xdr:rowOff>
    </xdr:to>
    <xdr:sp>
      <xdr:nvSpPr>
        <xdr:cNvPr id="4" name="Line 16"/>
        <xdr:cNvSpPr>
          <a:spLocks/>
        </xdr:cNvSpPr>
      </xdr:nvSpPr>
      <xdr:spPr>
        <a:xfrm>
          <a:off x="876300" y="2219325"/>
          <a:ext cx="3867150" cy="0"/>
        </a:xfrm>
        <a:prstGeom prst="line">
          <a:avLst/>
        </a:prstGeom>
        <a:noFill/>
        <a:ln w="57150" cmpd="thinThick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15</xdr:row>
      <xdr:rowOff>114300</xdr:rowOff>
    </xdr:from>
    <xdr:ext cx="1238250" cy="323850"/>
    <xdr:sp>
      <xdr:nvSpPr>
        <xdr:cNvPr id="5" name="Text Box 19"/>
        <xdr:cNvSpPr txBox="1">
          <a:spLocks noChangeArrowheads="1"/>
        </xdr:cNvSpPr>
      </xdr:nvSpPr>
      <xdr:spPr>
        <a:xfrm>
          <a:off x="1323975" y="2628900"/>
          <a:ext cx="1238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Sheet #1 (Turning Volume Summary)</a:t>
          </a:r>
        </a:p>
      </xdr:txBody>
    </xdr:sp>
    <xdr:clientData/>
  </xdr:oneCellAnchor>
  <xdr:oneCellAnchor>
    <xdr:from>
      <xdr:col>4</xdr:col>
      <xdr:colOff>571500</xdr:colOff>
      <xdr:row>15</xdr:row>
      <xdr:rowOff>123825</xdr:rowOff>
    </xdr:from>
    <xdr:ext cx="1238250" cy="323850"/>
    <xdr:sp>
      <xdr:nvSpPr>
        <xdr:cNvPr id="6" name="Text Box 20"/>
        <xdr:cNvSpPr txBox="1">
          <a:spLocks noChangeArrowheads="1"/>
        </xdr:cNvSpPr>
      </xdr:nvSpPr>
      <xdr:spPr>
        <a:xfrm>
          <a:off x="3009900" y="2638425"/>
          <a:ext cx="1238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Sheet #2 (Project Traffic Detail)</a:t>
          </a:r>
        </a:p>
      </xdr:txBody>
    </xdr:sp>
    <xdr:clientData/>
  </xdr:oneCellAnchor>
  <xdr:oneCellAnchor>
    <xdr:from>
      <xdr:col>1</xdr:col>
      <xdr:colOff>95250</xdr:colOff>
      <xdr:row>9</xdr:row>
      <xdr:rowOff>9525</xdr:rowOff>
    </xdr:from>
    <xdr:ext cx="704850" cy="552450"/>
    <xdr:sp>
      <xdr:nvSpPr>
        <xdr:cNvPr id="7" name="Text Box 21"/>
        <xdr:cNvSpPr txBox="1">
          <a:spLocks noChangeArrowheads="1"/>
        </xdr:cNvSpPr>
      </xdr:nvSpPr>
      <xdr:spPr>
        <a:xfrm>
          <a:off x="704850" y="1552575"/>
          <a:ext cx="704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Check Input</a:t>
          </a:r>
        </a:p>
      </xdr:txBody>
    </xdr:sp>
    <xdr:clientData/>
  </xdr:oneCellAnchor>
  <xdr:twoCellAnchor>
    <xdr:from>
      <xdr:col>1</xdr:col>
      <xdr:colOff>257175</xdr:colOff>
      <xdr:row>22</xdr:row>
      <xdr:rowOff>9525</xdr:rowOff>
    </xdr:from>
    <xdr:to>
      <xdr:col>8</xdr:col>
      <xdr:colOff>238125</xdr:colOff>
      <xdr:row>22</xdr:row>
      <xdr:rowOff>9525</xdr:rowOff>
    </xdr:to>
    <xdr:sp>
      <xdr:nvSpPr>
        <xdr:cNvPr id="8" name="Line 24"/>
        <xdr:cNvSpPr>
          <a:spLocks/>
        </xdr:cNvSpPr>
      </xdr:nvSpPr>
      <xdr:spPr>
        <a:xfrm>
          <a:off x="866775" y="3657600"/>
          <a:ext cx="3867150" cy="0"/>
        </a:xfrm>
        <a:prstGeom prst="line">
          <a:avLst/>
        </a:prstGeom>
        <a:noFill/>
        <a:ln w="57150" cmpd="thinThick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114300</xdr:rowOff>
    </xdr:from>
    <xdr:to>
      <xdr:col>6</xdr:col>
      <xdr:colOff>971550</xdr:colOff>
      <xdr:row>20</xdr:row>
      <xdr:rowOff>114300</xdr:rowOff>
    </xdr:to>
    <xdr:sp>
      <xdr:nvSpPr>
        <xdr:cNvPr id="1" name="Line 4"/>
        <xdr:cNvSpPr>
          <a:spLocks/>
        </xdr:cNvSpPr>
      </xdr:nvSpPr>
      <xdr:spPr>
        <a:xfrm>
          <a:off x="66675" y="3257550"/>
          <a:ext cx="61436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27</xdr:row>
      <xdr:rowOff>85725</xdr:rowOff>
    </xdr:from>
    <xdr:to>
      <xdr:col>6</xdr:col>
      <xdr:colOff>971550</xdr:colOff>
      <xdr:row>27</xdr:row>
      <xdr:rowOff>85725</xdr:rowOff>
    </xdr:to>
    <xdr:sp>
      <xdr:nvSpPr>
        <xdr:cNvPr id="2" name="Line 8"/>
        <xdr:cNvSpPr>
          <a:spLocks/>
        </xdr:cNvSpPr>
      </xdr:nvSpPr>
      <xdr:spPr>
        <a:xfrm>
          <a:off x="66675" y="4362450"/>
          <a:ext cx="61436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43</xdr:row>
      <xdr:rowOff>38100</xdr:rowOff>
    </xdr:from>
    <xdr:to>
      <xdr:col>6</xdr:col>
      <xdr:colOff>828675</xdr:colOff>
      <xdr:row>43</xdr:row>
      <xdr:rowOff>38100</xdr:rowOff>
    </xdr:to>
    <xdr:sp>
      <xdr:nvSpPr>
        <xdr:cNvPr id="3" name="Line 9"/>
        <xdr:cNvSpPr>
          <a:spLocks/>
        </xdr:cNvSpPr>
      </xdr:nvSpPr>
      <xdr:spPr>
        <a:xfrm>
          <a:off x="123825" y="6724650"/>
          <a:ext cx="5943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60</xdr:row>
      <xdr:rowOff>47625</xdr:rowOff>
    </xdr:from>
    <xdr:to>
      <xdr:col>6</xdr:col>
      <xdr:colOff>971550</xdr:colOff>
      <xdr:row>60</xdr:row>
      <xdr:rowOff>47625</xdr:rowOff>
    </xdr:to>
    <xdr:sp>
      <xdr:nvSpPr>
        <xdr:cNvPr id="4" name="Line 12"/>
        <xdr:cNvSpPr>
          <a:spLocks/>
        </xdr:cNvSpPr>
      </xdr:nvSpPr>
      <xdr:spPr>
        <a:xfrm>
          <a:off x="66675" y="9486900"/>
          <a:ext cx="61436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104775</xdr:rowOff>
    </xdr:from>
    <xdr:to>
      <xdr:col>8</xdr:col>
      <xdr:colOff>466725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66294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152400</xdr:rowOff>
    </xdr:from>
    <xdr:to>
      <xdr:col>8</xdr:col>
      <xdr:colOff>466725</xdr:colOff>
      <xdr:row>25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0" y="4200525"/>
          <a:ext cx="66294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103</xdr:row>
      <xdr:rowOff>152400</xdr:rowOff>
    </xdr:from>
    <xdr:to>
      <xdr:col>8</xdr:col>
      <xdr:colOff>495300</xdr:colOff>
      <xdr:row>103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8575" y="16983075"/>
          <a:ext cx="66294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183</xdr:row>
      <xdr:rowOff>152400</xdr:rowOff>
    </xdr:from>
    <xdr:to>
      <xdr:col>8</xdr:col>
      <xdr:colOff>495300</xdr:colOff>
      <xdr:row>183</xdr:row>
      <xdr:rowOff>152400</xdr:rowOff>
    </xdr:to>
    <xdr:sp>
      <xdr:nvSpPr>
        <xdr:cNvPr id="4" name="Line 6"/>
        <xdr:cNvSpPr>
          <a:spLocks/>
        </xdr:cNvSpPr>
      </xdr:nvSpPr>
      <xdr:spPr>
        <a:xfrm>
          <a:off x="28575" y="30089475"/>
          <a:ext cx="66294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263</xdr:row>
      <xdr:rowOff>152400</xdr:rowOff>
    </xdr:from>
    <xdr:to>
      <xdr:col>8</xdr:col>
      <xdr:colOff>495300</xdr:colOff>
      <xdr:row>263</xdr:row>
      <xdr:rowOff>152400</xdr:rowOff>
    </xdr:to>
    <xdr:sp>
      <xdr:nvSpPr>
        <xdr:cNvPr id="5" name="Line 7"/>
        <xdr:cNvSpPr>
          <a:spLocks/>
        </xdr:cNvSpPr>
      </xdr:nvSpPr>
      <xdr:spPr>
        <a:xfrm>
          <a:off x="28575" y="43195875"/>
          <a:ext cx="66294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96</xdr:row>
      <xdr:rowOff>142875</xdr:rowOff>
    </xdr:from>
    <xdr:to>
      <xdr:col>21</xdr:col>
      <xdr:colOff>438150</xdr:colOff>
      <xdr:row>98</xdr:row>
      <xdr:rowOff>0</xdr:rowOff>
    </xdr:to>
    <xdr:sp>
      <xdr:nvSpPr>
        <xdr:cNvPr id="1" name="Rectangle 513"/>
        <xdr:cNvSpPr>
          <a:spLocks/>
        </xdr:cNvSpPr>
      </xdr:nvSpPr>
      <xdr:spPr>
        <a:xfrm>
          <a:off x="4924425" y="16230600"/>
          <a:ext cx="4448175" cy="180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90</xdr:row>
      <xdr:rowOff>19050</xdr:rowOff>
    </xdr:from>
    <xdr:to>
      <xdr:col>15</xdr:col>
      <xdr:colOff>361950</xdr:colOff>
      <xdr:row>108</xdr:row>
      <xdr:rowOff>114300</xdr:rowOff>
    </xdr:to>
    <xdr:sp>
      <xdr:nvSpPr>
        <xdr:cNvPr id="2" name="Rectangle 514"/>
        <xdr:cNvSpPr>
          <a:spLocks/>
        </xdr:cNvSpPr>
      </xdr:nvSpPr>
      <xdr:spPr>
        <a:xfrm>
          <a:off x="6562725" y="15135225"/>
          <a:ext cx="180975" cy="30099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90</xdr:row>
      <xdr:rowOff>28575</xdr:rowOff>
    </xdr:from>
    <xdr:to>
      <xdr:col>17</xdr:col>
      <xdr:colOff>257175</xdr:colOff>
      <xdr:row>108</xdr:row>
      <xdr:rowOff>123825</xdr:rowOff>
    </xdr:to>
    <xdr:sp>
      <xdr:nvSpPr>
        <xdr:cNvPr id="3" name="Rectangle 515"/>
        <xdr:cNvSpPr>
          <a:spLocks/>
        </xdr:cNvSpPr>
      </xdr:nvSpPr>
      <xdr:spPr>
        <a:xfrm>
          <a:off x="7277100" y="15144750"/>
          <a:ext cx="180975" cy="30099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101</xdr:row>
      <xdr:rowOff>9525</xdr:rowOff>
    </xdr:from>
    <xdr:to>
      <xdr:col>21</xdr:col>
      <xdr:colOff>409575</xdr:colOff>
      <xdr:row>102</xdr:row>
      <xdr:rowOff>28575</xdr:rowOff>
    </xdr:to>
    <xdr:sp>
      <xdr:nvSpPr>
        <xdr:cNvPr id="4" name="Rectangle 512"/>
        <xdr:cNvSpPr>
          <a:spLocks/>
        </xdr:cNvSpPr>
      </xdr:nvSpPr>
      <xdr:spPr>
        <a:xfrm>
          <a:off x="4895850" y="16906875"/>
          <a:ext cx="4448175" cy="180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142875</xdr:rowOff>
    </xdr:from>
    <xdr:to>
      <xdr:col>3</xdr:col>
      <xdr:colOff>66675</xdr:colOff>
      <xdr:row>12</xdr:row>
      <xdr:rowOff>142875</xdr:rowOff>
    </xdr:to>
    <xdr:sp>
      <xdr:nvSpPr>
        <xdr:cNvPr id="5" name="Line 1"/>
        <xdr:cNvSpPr>
          <a:spLocks/>
        </xdr:cNvSpPr>
      </xdr:nvSpPr>
      <xdr:spPr>
        <a:xfrm>
          <a:off x="7524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11</xdr:row>
      <xdr:rowOff>104775</xdr:rowOff>
    </xdr:from>
    <xdr:to>
      <xdr:col>3</xdr:col>
      <xdr:colOff>66675</xdr:colOff>
      <xdr:row>12</xdr:row>
      <xdr:rowOff>142875</xdr:rowOff>
    </xdr:to>
    <xdr:sp>
      <xdr:nvSpPr>
        <xdr:cNvPr id="6" name="Line 2"/>
        <xdr:cNvSpPr>
          <a:spLocks/>
        </xdr:cNvSpPr>
      </xdr:nvSpPr>
      <xdr:spPr>
        <a:xfrm flipH="1" flipV="1">
          <a:off x="1314450" y="2028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13</xdr:row>
      <xdr:rowOff>142875</xdr:rowOff>
    </xdr:from>
    <xdr:to>
      <xdr:col>3</xdr:col>
      <xdr:colOff>152400</xdr:colOff>
      <xdr:row>13</xdr:row>
      <xdr:rowOff>142875</xdr:rowOff>
    </xdr:to>
    <xdr:sp>
      <xdr:nvSpPr>
        <xdr:cNvPr id="7" name="Line 3"/>
        <xdr:cNvSpPr>
          <a:spLocks/>
        </xdr:cNvSpPr>
      </xdr:nvSpPr>
      <xdr:spPr>
        <a:xfrm>
          <a:off x="742950" y="2390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152400</xdr:rowOff>
    </xdr:from>
    <xdr:to>
      <xdr:col>3</xdr:col>
      <xdr:colOff>66675</xdr:colOff>
      <xdr:row>14</xdr:row>
      <xdr:rowOff>152400</xdr:rowOff>
    </xdr:to>
    <xdr:sp>
      <xdr:nvSpPr>
        <xdr:cNvPr id="8" name="Line 4"/>
        <xdr:cNvSpPr>
          <a:spLocks/>
        </xdr:cNvSpPr>
      </xdr:nvSpPr>
      <xdr:spPr>
        <a:xfrm>
          <a:off x="752475" y="2562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14</xdr:row>
      <xdr:rowOff>152400</xdr:rowOff>
    </xdr:from>
    <xdr:to>
      <xdr:col>3</xdr:col>
      <xdr:colOff>66675</xdr:colOff>
      <xdr:row>16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1314450" y="25622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142875</xdr:rowOff>
    </xdr:from>
    <xdr:to>
      <xdr:col>9</xdr:col>
      <xdr:colOff>419100</xdr:colOff>
      <xdr:row>9</xdr:row>
      <xdr:rowOff>142875</xdr:rowOff>
    </xdr:to>
    <xdr:sp>
      <xdr:nvSpPr>
        <xdr:cNvPr id="10" name="Line 6"/>
        <xdr:cNvSpPr>
          <a:spLocks/>
        </xdr:cNvSpPr>
      </xdr:nvSpPr>
      <xdr:spPr>
        <a:xfrm>
          <a:off x="3419475" y="17430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142875</xdr:rowOff>
    </xdr:from>
    <xdr:to>
      <xdr:col>10</xdr:col>
      <xdr:colOff>47625</xdr:colOff>
      <xdr:row>10</xdr:row>
      <xdr:rowOff>142875</xdr:rowOff>
    </xdr:to>
    <xdr:sp>
      <xdr:nvSpPr>
        <xdr:cNvPr id="11" name="Line 7"/>
        <xdr:cNvSpPr>
          <a:spLocks/>
        </xdr:cNvSpPr>
      </xdr:nvSpPr>
      <xdr:spPr>
        <a:xfrm>
          <a:off x="3305175" y="19050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152400</xdr:rowOff>
    </xdr:from>
    <xdr:to>
      <xdr:col>9</xdr:col>
      <xdr:colOff>419100</xdr:colOff>
      <xdr:row>11</xdr:row>
      <xdr:rowOff>152400</xdr:rowOff>
    </xdr:to>
    <xdr:sp>
      <xdr:nvSpPr>
        <xdr:cNvPr id="12" name="Line 8"/>
        <xdr:cNvSpPr>
          <a:spLocks/>
        </xdr:cNvSpPr>
      </xdr:nvSpPr>
      <xdr:spPr>
        <a:xfrm>
          <a:off x="3419475" y="2076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8</xdr:row>
      <xdr:rowOff>95250</xdr:rowOff>
    </xdr:from>
    <xdr:to>
      <xdr:col>8</xdr:col>
      <xdr:colOff>114300</xdr:colOff>
      <xdr:row>9</xdr:row>
      <xdr:rowOff>133350</xdr:rowOff>
    </xdr:to>
    <xdr:sp>
      <xdr:nvSpPr>
        <xdr:cNvPr id="13" name="Line 9"/>
        <xdr:cNvSpPr>
          <a:spLocks/>
        </xdr:cNvSpPr>
      </xdr:nvSpPr>
      <xdr:spPr>
        <a:xfrm flipH="1" flipV="1">
          <a:off x="3409950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142875</xdr:rowOff>
    </xdr:from>
    <xdr:to>
      <xdr:col>8</xdr:col>
      <xdr:colOff>123825</xdr:colOff>
      <xdr:row>13</xdr:row>
      <xdr:rowOff>9525</xdr:rowOff>
    </xdr:to>
    <xdr:sp>
      <xdr:nvSpPr>
        <xdr:cNvPr id="14" name="Line 10"/>
        <xdr:cNvSpPr>
          <a:spLocks/>
        </xdr:cNvSpPr>
      </xdr:nvSpPr>
      <xdr:spPr>
        <a:xfrm flipH="1">
          <a:off x="3419475" y="2066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57150</xdr:rowOff>
    </xdr:from>
    <xdr:to>
      <xdr:col>7</xdr:col>
      <xdr:colOff>0</xdr:colOff>
      <xdr:row>18</xdr:row>
      <xdr:rowOff>142875</xdr:rowOff>
    </xdr:to>
    <xdr:sp>
      <xdr:nvSpPr>
        <xdr:cNvPr id="15" name="Line 12"/>
        <xdr:cNvSpPr>
          <a:spLocks/>
        </xdr:cNvSpPr>
      </xdr:nvSpPr>
      <xdr:spPr>
        <a:xfrm flipV="1">
          <a:off x="2895600" y="2790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152400</xdr:rowOff>
    </xdr:from>
    <xdr:to>
      <xdr:col>6</xdr:col>
      <xdr:colOff>0</xdr:colOff>
      <xdr:row>18</xdr:row>
      <xdr:rowOff>123825</xdr:rowOff>
    </xdr:to>
    <xdr:sp>
      <xdr:nvSpPr>
        <xdr:cNvPr id="16" name="Line 13"/>
        <xdr:cNvSpPr>
          <a:spLocks/>
        </xdr:cNvSpPr>
      </xdr:nvSpPr>
      <xdr:spPr>
        <a:xfrm flipV="1">
          <a:off x="2486025" y="2886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152400</xdr:rowOff>
    </xdr:from>
    <xdr:to>
      <xdr:col>6</xdr:col>
      <xdr:colOff>0</xdr:colOff>
      <xdr:row>16</xdr:row>
      <xdr:rowOff>152400</xdr:rowOff>
    </xdr:to>
    <xdr:sp>
      <xdr:nvSpPr>
        <xdr:cNvPr id="17" name="Line 14"/>
        <xdr:cNvSpPr>
          <a:spLocks/>
        </xdr:cNvSpPr>
      </xdr:nvSpPr>
      <xdr:spPr>
        <a:xfrm flipH="1">
          <a:off x="2190750" y="2886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152400</xdr:rowOff>
    </xdr:from>
    <xdr:to>
      <xdr:col>8</xdr:col>
      <xdr:colOff>0</xdr:colOff>
      <xdr:row>18</xdr:row>
      <xdr:rowOff>123825</xdr:rowOff>
    </xdr:to>
    <xdr:sp>
      <xdr:nvSpPr>
        <xdr:cNvPr id="18" name="Line 16"/>
        <xdr:cNvSpPr>
          <a:spLocks/>
        </xdr:cNvSpPr>
      </xdr:nvSpPr>
      <xdr:spPr>
        <a:xfrm flipV="1">
          <a:off x="3305175" y="2886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152400</xdr:rowOff>
    </xdr:from>
    <xdr:to>
      <xdr:col>8</xdr:col>
      <xdr:colOff>190500</xdr:colOff>
      <xdr:row>16</xdr:row>
      <xdr:rowOff>152400</xdr:rowOff>
    </xdr:to>
    <xdr:sp>
      <xdr:nvSpPr>
        <xdr:cNvPr id="19" name="Line 17"/>
        <xdr:cNvSpPr>
          <a:spLocks/>
        </xdr:cNvSpPr>
      </xdr:nvSpPr>
      <xdr:spPr>
        <a:xfrm>
          <a:off x="3305175" y="2886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8</xdr:row>
      <xdr:rowOff>104775</xdr:rowOff>
    </xdr:to>
    <xdr:sp>
      <xdr:nvSpPr>
        <xdr:cNvPr id="20" name="Line 23"/>
        <xdr:cNvSpPr>
          <a:spLocks/>
        </xdr:cNvSpPr>
      </xdr:nvSpPr>
      <xdr:spPr>
        <a:xfrm flipV="1">
          <a:off x="2076450" y="11334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0</xdr:colOff>
      <xdr:row>8</xdr:row>
      <xdr:rowOff>0</xdr:rowOff>
    </xdr:to>
    <xdr:sp>
      <xdr:nvSpPr>
        <xdr:cNvPr id="21" name="Line 24"/>
        <xdr:cNvSpPr>
          <a:spLocks/>
        </xdr:cNvSpPr>
      </xdr:nvSpPr>
      <xdr:spPr>
        <a:xfrm flipV="1">
          <a:off x="1666875" y="1143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8</xdr:row>
      <xdr:rowOff>0</xdr:rowOff>
    </xdr:from>
    <xdr:to>
      <xdr:col>3</xdr:col>
      <xdr:colOff>400050</xdr:colOff>
      <xdr:row>8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1362075" y="14382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28575</xdr:rowOff>
    </xdr:from>
    <xdr:to>
      <xdr:col>6</xdr:col>
      <xdr:colOff>0</xdr:colOff>
      <xdr:row>8</xdr:row>
      <xdr:rowOff>0</xdr:rowOff>
    </xdr:to>
    <xdr:sp>
      <xdr:nvSpPr>
        <xdr:cNvPr id="23" name="Line 26"/>
        <xdr:cNvSpPr>
          <a:spLocks/>
        </xdr:cNvSpPr>
      </xdr:nvSpPr>
      <xdr:spPr>
        <a:xfrm flipV="1">
          <a:off x="2486025" y="1143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190500</xdr:colOff>
      <xdr:row>8</xdr:row>
      <xdr:rowOff>0</xdr:rowOff>
    </xdr:to>
    <xdr:sp>
      <xdr:nvSpPr>
        <xdr:cNvPr id="24" name="Line 27"/>
        <xdr:cNvSpPr>
          <a:spLocks/>
        </xdr:cNvSpPr>
      </xdr:nvSpPr>
      <xdr:spPr>
        <a:xfrm>
          <a:off x="2486025" y="1438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76200</xdr:rowOff>
    </xdr:from>
    <xdr:to>
      <xdr:col>0</xdr:col>
      <xdr:colOff>495300</xdr:colOff>
      <xdr:row>12</xdr:row>
      <xdr:rowOff>104775</xdr:rowOff>
    </xdr:to>
    <xdr:sp>
      <xdr:nvSpPr>
        <xdr:cNvPr id="25" name="AutoShape 32"/>
        <xdr:cNvSpPr>
          <a:spLocks/>
        </xdr:cNvSpPr>
      </xdr:nvSpPr>
      <xdr:spPr>
        <a:xfrm>
          <a:off x="57150" y="1838325"/>
          <a:ext cx="438150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11</xdr:row>
      <xdr:rowOff>57150</xdr:rowOff>
    </xdr:from>
    <xdr:to>
      <xdr:col>10</xdr:col>
      <xdr:colOff>485775</xdr:colOff>
      <xdr:row>13</xdr:row>
      <xdr:rowOff>85725</xdr:rowOff>
    </xdr:to>
    <xdr:sp>
      <xdr:nvSpPr>
        <xdr:cNvPr id="26" name="AutoShape 33"/>
        <xdr:cNvSpPr>
          <a:spLocks/>
        </xdr:cNvSpPr>
      </xdr:nvSpPr>
      <xdr:spPr>
        <a:xfrm>
          <a:off x="4152900" y="1981200"/>
          <a:ext cx="523875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114300</xdr:rowOff>
    </xdr:from>
    <xdr:to>
      <xdr:col>7</xdr:col>
      <xdr:colOff>19050</xdr:colOff>
      <xdr:row>5</xdr:row>
      <xdr:rowOff>66675</xdr:rowOff>
    </xdr:to>
    <xdr:sp>
      <xdr:nvSpPr>
        <xdr:cNvPr id="27" name="AutoShape 34"/>
        <xdr:cNvSpPr>
          <a:spLocks/>
        </xdr:cNvSpPr>
      </xdr:nvSpPr>
      <xdr:spPr>
        <a:xfrm>
          <a:off x="2085975" y="742950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19</xdr:row>
      <xdr:rowOff>95250</xdr:rowOff>
    </xdr:from>
    <xdr:to>
      <xdr:col>6</xdr:col>
      <xdr:colOff>0</xdr:colOff>
      <xdr:row>21</xdr:row>
      <xdr:rowOff>47625</xdr:rowOff>
    </xdr:to>
    <xdr:sp>
      <xdr:nvSpPr>
        <xdr:cNvPr id="28" name="AutoShape 35"/>
        <xdr:cNvSpPr>
          <a:spLocks/>
        </xdr:cNvSpPr>
      </xdr:nvSpPr>
      <xdr:spPr>
        <a:xfrm>
          <a:off x="1657350" y="3314700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9</xdr:row>
      <xdr:rowOff>85725</xdr:rowOff>
    </xdr:from>
    <xdr:to>
      <xdr:col>6</xdr:col>
      <xdr:colOff>47625</xdr:colOff>
      <xdr:row>11</xdr:row>
      <xdr:rowOff>114300</xdr:rowOff>
    </xdr:to>
    <xdr:sp>
      <xdr:nvSpPr>
        <xdr:cNvPr id="29" name="AutoShape 37"/>
        <xdr:cNvSpPr>
          <a:spLocks/>
        </xdr:cNvSpPr>
      </xdr:nvSpPr>
      <xdr:spPr>
        <a:xfrm>
          <a:off x="2066925" y="1685925"/>
          <a:ext cx="466725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123825</xdr:rowOff>
    </xdr:from>
    <xdr:to>
      <xdr:col>7</xdr:col>
      <xdr:colOff>9525</xdr:colOff>
      <xdr:row>14</xdr:row>
      <xdr:rowOff>76200</xdr:rowOff>
    </xdr:to>
    <xdr:sp>
      <xdr:nvSpPr>
        <xdr:cNvPr id="30" name="AutoShape 38"/>
        <xdr:cNvSpPr>
          <a:spLocks/>
        </xdr:cNvSpPr>
      </xdr:nvSpPr>
      <xdr:spPr>
        <a:xfrm>
          <a:off x="2076450" y="2209800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142875</xdr:rowOff>
    </xdr:from>
    <xdr:to>
      <xdr:col>14</xdr:col>
      <xdr:colOff>66675</xdr:colOff>
      <xdr:row>12</xdr:row>
      <xdr:rowOff>142875</xdr:rowOff>
    </xdr:to>
    <xdr:sp>
      <xdr:nvSpPr>
        <xdr:cNvPr id="31" name="Line 39"/>
        <xdr:cNvSpPr>
          <a:spLocks/>
        </xdr:cNvSpPr>
      </xdr:nvSpPr>
      <xdr:spPr>
        <a:xfrm>
          <a:off x="5467350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11</xdr:row>
      <xdr:rowOff>104775</xdr:rowOff>
    </xdr:from>
    <xdr:to>
      <xdr:col>14</xdr:col>
      <xdr:colOff>66675</xdr:colOff>
      <xdr:row>12</xdr:row>
      <xdr:rowOff>142875</xdr:rowOff>
    </xdr:to>
    <xdr:sp>
      <xdr:nvSpPr>
        <xdr:cNvPr id="32" name="Line 40"/>
        <xdr:cNvSpPr>
          <a:spLocks/>
        </xdr:cNvSpPr>
      </xdr:nvSpPr>
      <xdr:spPr>
        <a:xfrm flipH="1" flipV="1">
          <a:off x="6029325" y="2028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13</xdr:row>
      <xdr:rowOff>142875</xdr:rowOff>
    </xdr:from>
    <xdr:to>
      <xdr:col>14</xdr:col>
      <xdr:colOff>152400</xdr:colOff>
      <xdr:row>13</xdr:row>
      <xdr:rowOff>142875</xdr:rowOff>
    </xdr:to>
    <xdr:sp>
      <xdr:nvSpPr>
        <xdr:cNvPr id="33" name="Line 41"/>
        <xdr:cNvSpPr>
          <a:spLocks/>
        </xdr:cNvSpPr>
      </xdr:nvSpPr>
      <xdr:spPr>
        <a:xfrm>
          <a:off x="5457825" y="2390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14</xdr:row>
      <xdr:rowOff>152400</xdr:rowOff>
    </xdr:from>
    <xdr:to>
      <xdr:col>14</xdr:col>
      <xdr:colOff>66675</xdr:colOff>
      <xdr:row>14</xdr:row>
      <xdr:rowOff>152400</xdr:rowOff>
    </xdr:to>
    <xdr:sp>
      <xdr:nvSpPr>
        <xdr:cNvPr id="34" name="Line 42"/>
        <xdr:cNvSpPr>
          <a:spLocks/>
        </xdr:cNvSpPr>
      </xdr:nvSpPr>
      <xdr:spPr>
        <a:xfrm>
          <a:off x="5467350" y="2562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14</xdr:row>
      <xdr:rowOff>152400</xdr:rowOff>
    </xdr:from>
    <xdr:to>
      <xdr:col>14</xdr:col>
      <xdr:colOff>66675</xdr:colOff>
      <xdr:row>16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6029325" y="25622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9</xdr:row>
      <xdr:rowOff>142875</xdr:rowOff>
    </xdr:from>
    <xdr:to>
      <xdr:col>20</xdr:col>
      <xdr:colOff>419100</xdr:colOff>
      <xdr:row>9</xdr:row>
      <xdr:rowOff>142875</xdr:rowOff>
    </xdr:to>
    <xdr:sp>
      <xdr:nvSpPr>
        <xdr:cNvPr id="36" name="Line 44"/>
        <xdr:cNvSpPr>
          <a:spLocks/>
        </xdr:cNvSpPr>
      </xdr:nvSpPr>
      <xdr:spPr>
        <a:xfrm>
          <a:off x="8134350" y="1743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142875</xdr:rowOff>
    </xdr:from>
    <xdr:to>
      <xdr:col>21</xdr:col>
      <xdr:colOff>47625</xdr:colOff>
      <xdr:row>10</xdr:row>
      <xdr:rowOff>142875</xdr:rowOff>
    </xdr:to>
    <xdr:sp>
      <xdr:nvSpPr>
        <xdr:cNvPr id="37" name="Line 45"/>
        <xdr:cNvSpPr>
          <a:spLocks/>
        </xdr:cNvSpPr>
      </xdr:nvSpPr>
      <xdr:spPr>
        <a:xfrm>
          <a:off x="8020050" y="19050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11</xdr:row>
      <xdr:rowOff>152400</xdr:rowOff>
    </xdr:from>
    <xdr:to>
      <xdr:col>20</xdr:col>
      <xdr:colOff>419100</xdr:colOff>
      <xdr:row>11</xdr:row>
      <xdr:rowOff>152400</xdr:rowOff>
    </xdr:to>
    <xdr:sp>
      <xdr:nvSpPr>
        <xdr:cNvPr id="38" name="Line 46"/>
        <xdr:cNvSpPr>
          <a:spLocks/>
        </xdr:cNvSpPr>
      </xdr:nvSpPr>
      <xdr:spPr>
        <a:xfrm>
          <a:off x="8134350" y="2076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8</xdr:row>
      <xdr:rowOff>95250</xdr:rowOff>
    </xdr:from>
    <xdr:to>
      <xdr:col>19</xdr:col>
      <xdr:colOff>114300</xdr:colOff>
      <xdr:row>9</xdr:row>
      <xdr:rowOff>133350</xdr:rowOff>
    </xdr:to>
    <xdr:sp>
      <xdr:nvSpPr>
        <xdr:cNvPr id="39" name="Line 47"/>
        <xdr:cNvSpPr>
          <a:spLocks/>
        </xdr:cNvSpPr>
      </xdr:nvSpPr>
      <xdr:spPr>
        <a:xfrm flipH="1" flipV="1">
          <a:off x="8124825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11</xdr:row>
      <xdr:rowOff>142875</xdr:rowOff>
    </xdr:from>
    <xdr:to>
      <xdr:col>19</xdr:col>
      <xdr:colOff>123825</xdr:colOff>
      <xdr:row>13</xdr:row>
      <xdr:rowOff>9525</xdr:rowOff>
    </xdr:to>
    <xdr:sp>
      <xdr:nvSpPr>
        <xdr:cNvPr id="40" name="Line 48"/>
        <xdr:cNvSpPr>
          <a:spLocks/>
        </xdr:cNvSpPr>
      </xdr:nvSpPr>
      <xdr:spPr>
        <a:xfrm flipH="1">
          <a:off x="8134350" y="2066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57150</xdr:rowOff>
    </xdr:from>
    <xdr:to>
      <xdr:col>18</xdr:col>
      <xdr:colOff>0</xdr:colOff>
      <xdr:row>18</xdr:row>
      <xdr:rowOff>142875</xdr:rowOff>
    </xdr:to>
    <xdr:sp>
      <xdr:nvSpPr>
        <xdr:cNvPr id="41" name="Line 49"/>
        <xdr:cNvSpPr>
          <a:spLocks/>
        </xdr:cNvSpPr>
      </xdr:nvSpPr>
      <xdr:spPr>
        <a:xfrm flipV="1">
          <a:off x="7610475" y="2790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18</xdr:row>
      <xdr:rowOff>123825</xdr:rowOff>
    </xdr:to>
    <xdr:sp>
      <xdr:nvSpPr>
        <xdr:cNvPr id="42" name="Line 50"/>
        <xdr:cNvSpPr>
          <a:spLocks/>
        </xdr:cNvSpPr>
      </xdr:nvSpPr>
      <xdr:spPr>
        <a:xfrm flipV="1">
          <a:off x="7200900" y="2886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43" name="Line 51"/>
        <xdr:cNvSpPr>
          <a:spLocks/>
        </xdr:cNvSpPr>
      </xdr:nvSpPr>
      <xdr:spPr>
        <a:xfrm flipH="1">
          <a:off x="6905625" y="2886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18</xdr:row>
      <xdr:rowOff>123825</xdr:rowOff>
    </xdr:to>
    <xdr:sp>
      <xdr:nvSpPr>
        <xdr:cNvPr id="44" name="Line 52"/>
        <xdr:cNvSpPr>
          <a:spLocks/>
        </xdr:cNvSpPr>
      </xdr:nvSpPr>
      <xdr:spPr>
        <a:xfrm flipV="1">
          <a:off x="8020050" y="2886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190500</xdr:colOff>
      <xdr:row>16</xdr:row>
      <xdr:rowOff>152400</xdr:rowOff>
    </xdr:to>
    <xdr:sp>
      <xdr:nvSpPr>
        <xdr:cNvPr id="45" name="Line 53"/>
        <xdr:cNvSpPr>
          <a:spLocks/>
        </xdr:cNvSpPr>
      </xdr:nvSpPr>
      <xdr:spPr>
        <a:xfrm>
          <a:off x="8020050" y="2886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19050</xdr:rowOff>
    </xdr:from>
    <xdr:to>
      <xdr:col>16</xdr:col>
      <xdr:colOff>0</xdr:colOff>
      <xdr:row>8</xdr:row>
      <xdr:rowOff>104775</xdr:rowOff>
    </xdr:to>
    <xdr:sp>
      <xdr:nvSpPr>
        <xdr:cNvPr id="46" name="Line 54"/>
        <xdr:cNvSpPr>
          <a:spLocks/>
        </xdr:cNvSpPr>
      </xdr:nvSpPr>
      <xdr:spPr>
        <a:xfrm flipV="1">
          <a:off x="6791325" y="11334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8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6381750" y="1143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8</xdr:row>
      <xdr:rowOff>0</xdr:rowOff>
    </xdr:from>
    <xdr:to>
      <xdr:col>14</xdr:col>
      <xdr:colOff>400050</xdr:colOff>
      <xdr:row>8</xdr:row>
      <xdr:rowOff>0</xdr:rowOff>
    </xdr:to>
    <xdr:sp>
      <xdr:nvSpPr>
        <xdr:cNvPr id="48" name="Line 56"/>
        <xdr:cNvSpPr>
          <a:spLocks/>
        </xdr:cNvSpPr>
      </xdr:nvSpPr>
      <xdr:spPr>
        <a:xfrm flipH="1">
          <a:off x="6076950" y="14382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28575</xdr:rowOff>
    </xdr:from>
    <xdr:to>
      <xdr:col>17</xdr:col>
      <xdr:colOff>0</xdr:colOff>
      <xdr:row>8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7200900" y="1143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190500</xdr:colOff>
      <xdr:row>8</xdr:row>
      <xdr:rowOff>0</xdr:rowOff>
    </xdr:to>
    <xdr:sp>
      <xdr:nvSpPr>
        <xdr:cNvPr id="50" name="Line 58"/>
        <xdr:cNvSpPr>
          <a:spLocks/>
        </xdr:cNvSpPr>
      </xdr:nvSpPr>
      <xdr:spPr>
        <a:xfrm>
          <a:off x="7200900" y="1438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10</xdr:row>
      <xdr:rowOff>76200</xdr:rowOff>
    </xdr:from>
    <xdr:to>
      <xdr:col>11</xdr:col>
      <xdr:colOff>495300</xdr:colOff>
      <xdr:row>12</xdr:row>
      <xdr:rowOff>104775</xdr:rowOff>
    </xdr:to>
    <xdr:sp>
      <xdr:nvSpPr>
        <xdr:cNvPr id="51" name="AutoShape 63"/>
        <xdr:cNvSpPr>
          <a:spLocks/>
        </xdr:cNvSpPr>
      </xdr:nvSpPr>
      <xdr:spPr>
        <a:xfrm>
          <a:off x="4772025" y="1838325"/>
          <a:ext cx="438150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11</xdr:row>
      <xdr:rowOff>57150</xdr:rowOff>
    </xdr:from>
    <xdr:to>
      <xdr:col>21</xdr:col>
      <xdr:colOff>485775</xdr:colOff>
      <xdr:row>13</xdr:row>
      <xdr:rowOff>85725</xdr:rowOff>
    </xdr:to>
    <xdr:sp>
      <xdr:nvSpPr>
        <xdr:cNvPr id="52" name="AutoShape 64"/>
        <xdr:cNvSpPr>
          <a:spLocks/>
        </xdr:cNvSpPr>
      </xdr:nvSpPr>
      <xdr:spPr>
        <a:xfrm>
          <a:off x="8877300" y="1981200"/>
          <a:ext cx="542925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114300</xdr:rowOff>
    </xdr:from>
    <xdr:to>
      <xdr:col>18</xdr:col>
      <xdr:colOff>19050</xdr:colOff>
      <xdr:row>5</xdr:row>
      <xdr:rowOff>66675</xdr:rowOff>
    </xdr:to>
    <xdr:sp>
      <xdr:nvSpPr>
        <xdr:cNvPr id="53" name="AutoShape 65"/>
        <xdr:cNvSpPr>
          <a:spLocks/>
        </xdr:cNvSpPr>
      </xdr:nvSpPr>
      <xdr:spPr>
        <a:xfrm>
          <a:off x="6800850" y="742950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19</xdr:row>
      <xdr:rowOff>95250</xdr:rowOff>
    </xdr:from>
    <xdr:to>
      <xdr:col>17</xdr:col>
      <xdr:colOff>0</xdr:colOff>
      <xdr:row>21</xdr:row>
      <xdr:rowOff>47625</xdr:rowOff>
    </xdr:to>
    <xdr:sp>
      <xdr:nvSpPr>
        <xdr:cNvPr id="54" name="AutoShape 66"/>
        <xdr:cNvSpPr>
          <a:spLocks/>
        </xdr:cNvSpPr>
      </xdr:nvSpPr>
      <xdr:spPr>
        <a:xfrm>
          <a:off x="6372225" y="3314700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9</xdr:row>
      <xdr:rowOff>85725</xdr:rowOff>
    </xdr:from>
    <xdr:to>
      <xdr:col>17</xdr:col>
      <xdr:colOff>47625</xdr:colOff>
      <xdr:row>11</xdr:row>
      <xdr:rowOff>114300</xdr:rowOff>
    </xdr:to>
    <xdr:sp>
      <xdr:nvSpPr>
        <xdr:cNvPr id="55" name="AutoShape 67"/>
        <xdr:cNvSpPr>
          <a:spLocks/>
        </xdr:cNvSpPr>
      </xdr:nvSpPr>
      <xdr:spPr>
        <a:xfrm>
          <a:off x="6781800" y="1685925"/>
          <a:ext cx="466725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123825</xdr:rowOff>
    </xdr:from>
    <xdr:to>
      <xdr:col>18</xdr:col>
      <xdr:colOff>9525</xdr:colOff>
      <xdr:row>14</xdr:row>
      <xdr:rowOff>76200</xdr:rowOff>
    </xdr:to>
    <xdr:sp>
      <xdr:nvSpPr>
        <xdr:cNvPr id="56" name="AutoShape 68"/>
        <xdr:cNvSpPr>
          <a:spLocks/>
        </xdr:cNvSpPr>
      </xdr:nvSpPr>
      <xdr:spPr>
        <a:xfrm>
          <a:off x="6791325" y="2209800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32</xdr:row>
      <xdr:rowOff>142875</xdr:rowOff>
    </xdr:from>
    <xdr:to>
      <xdr:col>3</xdr:col>
      <xdr:colOff>66675</xdr:colOff>
      <xdr:row>32</xdr:row>
      <xdr:rowOff>142875</xdr:rowOff>
    </xdr:to>
    <xdr:sp>
      <xdr:nvSpPr>
        <xdr:cNvPr id="57" name="Line 69"/>
        <xdr:cNvSpPr>
          <a:spLocks/>
        </xdr:cNvSpPr>
      </xdr:nvSpPr>
      <xdr:spPr>
        <a:xfrm>
          <a:off x="752475" y="5514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31</xdr:row>
      <xdr:rowOff>104775</xdr:rowOff>
    </xdr:from>
    <xdr:to>
      <xdr:col>3</xdr:col>
      <xdr:colOff>66675</xdr:colOff>
      <xdr:row>32</xdr:row>
      <xdr:rowOff>142875</xdr:rowOff>
    </xdr:to>
    <xdr:sp>
      <xdr:nvSpPr>
        <xdr:cNvPr id="58" name="Line 70"/>
        <xdr:cNvSpPr>
          <a:spLocks/>
        </xdr:cNvSpPr>
      </xdr:nvSpPr>
      <xdr:spPr>
        <a:xfrm flipH="1" flipV="1">
          <a:off x="1314450" y="53149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33</xdr:row>
      <xdr:rowOff>142875</xdr:rowOff>
    </xdr:from>
    <xdr:to>
      <xdr:col>3</xdr:col>
      <xdr:colOff>152400</xdr:colOff>
      <xdr:row>33</xdr:row>
      <xdr:rowOff>142875</xdr:rowOff>
    </xdr:to>
    <xdr:sp>
      <xdr:nvSpPr>
        <xdr:cNvPr id="59" name="Line 71"/>
        <xdr:cNvSpPr>
          <a:spLocks/>
        </xdr:cNvSpPr>
      </xdr:nvSpPr>
      <xdr:spPr>
        <a:xfrm>
          <a:off x="742950" y="5676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34</xdr:row>
      <xdr:rowOff>152400</xdr:rowOff>
    </xdr:from>
    <xdr:to>
      <xdr:col>3</xdr:col>
      <xdr:colOff>66675</xdr:colOff>
      <xdr:row>34</xdr:row>
      <xdr:rowOff>152400</xdr:rowOff>
    </xdr:to>
    <xdr:sp>
      <xdr:nvSpPr>
        <xdr:cNvPr id="60" name="Line 72"/>
        <xdr:cNvSpPr>
          <a:spLocks/>
        </xdr:cNvSpPr>
      </xdr:nvSpPr>
      <xdr:spPr>
        <a:xfrm>
          <a:off x="752475" y="5848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152400</xdr:rowOff>
    </xdr:from>
    <xdr:to>
      <xdr:col>3</xdr:col>
      <xdr:colOff>66675</xdr:colOff>
      <xdr:row>36</xdr:row>
      <xdr:rowOff>19050</xdr:rowOff>
    </xdr:to>
    <xdr:sp>
      <xdr:nvSpPr>
        <xdr:cNvPr id="61" name="Line 73"/>
        <xdr:cNvSpPr>
          <a:spLocks/>
        </xdr:cNvSpPr>
      </xdr:nvSpPr>
      <xdr:spPr>
        <a:xfrm flipH="1">
          <a:off x="1314450" y="58483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142875</xdr:rowOff>
    </xdr:from>
    <xdr:to>
      <xdr:col>9</xdr:col>
      <xdr:colOff>419100</xdr:colOff>
      <xdr:row>29</xdr:row>
      <xdr:rowOff>142875</xdr:rowOff>
    </xdr:to>
    <xdr:sp>
      <xdr:nvSpPr>
        <xdr:cNvPr id="62" name="Line 74"/>
        <xdr:cNvSpPr>
          <a:spLocks/>
        </xdr:cNvSpPr>
      </xdr:nvSpPr>
      <xdr:spPr>
        <a:xfrm>
          <a:off x="3419475" y="5029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142875</xdr:rowOff>
    </xdr:from>
    <xdr:to>
      <xdr:col>10</xdr:col>
      <xdr:colOff>47625</xdr:colOff>
      <xdr:row>30</xdr:row>
      <xdr:rowOff>142875</xdr:rowOff>
    </xdr:to>
    <xdr:sp>
      <xdr:nvSpPr>
        <xdr:cNvPr id="63" name="Line 75"/>
        <xdr:cNvSpPr>
          <a:spLocks/>
        </xdr:cNvSpPr>
      </xdr:nvSpPr>
      <xdr:spPr>
        <a:xfrm>
          <a:off x="3305175" y="5191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31</xdr:row>
      <xdr:rowOff>152400</xdr:rowOff>
    </xdr:from>
    <xdr:to>
      <xdr:col>9</xdr:col>
      <xdr:colOff>419100</xdr:colOff>
      <xdr:row>31</xdr:row>
      <xdr:rowOff>152400</xdr:rowOff>
    </xdr:to>
    <xdr:sp>
      <xdr:nvSpPr>
        <xdr:cNvPr id="64" name="Line 76"/>
        <xdr:cNvSpPr>
          <a:spLocks/>
        </xdr:cNvSpPr>
      </xdr:nvSpPr>
      <xdr:spPr>
        <a:xfrm>
          <a:off x="3419475" y="53625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95250</xdr:rowOff>
    </xdr:from>
    <xdr:to>
      <xdr:col>8</xdr:col>
      <xdr:colOff>114300</xdr:colOff>
      <xdr:row>29</xdr:row>
      <xdr:rowOff>133350</xdr:rowOff>
    </xdr:to>
    <xdr:sp>
      <xdr:nvSpPr>
        <xdr:cNvPr id="65" name="Line 77"/>
        <xdr:cNvSpPr>
          <a:spLocks/>
        </xdr:cNvSpPr>
      </xdr:nvSpPr>
      <xdr:spPr>
        <a:xfrm flipH="1" flipV="1">
          <a:off x="3409950" y="48196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31</xdr:row>
      <xdr:rowOff>142875</xdr:rowOff>
    </xdr:from>
    <xdr:to>
      <xdr:col>8</xdr:col>
      <xdr:colOff>123825</xdr:colOff>
      <xdr:row>33</xdr:row>
      <xdr:rowOff>9525</xdr:rowOff>
    </xdr:to>
    <xdr:sp>
      <xdr:nvSpPr>
        <xdr:cNvPr id="66" name="Line 78"/>
        <xdr:cNvSpPr>
          <a:spLocks/>
        </xdr:cNvSpPr>
      </xdr:nvSpPr>
      <xdr:spPr>
        <a:xfrm flipH="1">
          <a:off x="3419475" y="53530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38</xdr:row>
      <xdr:rowOff>142875</xdr:rowOff>
    </xdr:to>
    <xdr:sp>
      <xdr:nvSpPr>
        <xdr:cNvPr id="67" name="Line 79"/>
        <xdr:cNvSpPr>
          <a:spLocks/>
        </xdr:cNvSpPr>
      </xdr:nvSpPr>
      <xdr:spPr>
        <a:xfrm flipV="1">
          <a:off x="2895600" y="60769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152400</xdr:rowOff>
    </xdr:from>
    <xdr:to>
      <xdr:col>6</xdr:col>
      <xdr:colOff>0</xdr:colOff>
      <xdr:row>38</xdr:row>
      <xdr:rowOff>123825</xdr:rowOff>
    </xdr:to>
    <xdr:sp>
      <xdr:nvSpPr>
        <xdr:cNvPr id="68" name="Line 80"/>
        <xdr:cNvSpPr>
          <a:spLocks/>
        </xdr:cNvSpPr>
      </xdr:nvSpPr>
      <xdr:spPr>
        <a:xfrm flipV="1">
          <a:off x="2486025" y="6172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36</xdr:row>
      <xdr:rowOff>152400</xdr:rowOff>
    </xdr:from>
    <xdr:to>
      <xdr:col>6</xdr:col>
      <xdr:colOff>0</xdr:colOff>
      <xdr:row>36</xdr:row>
      <xdr:rowOff>152400</xdr:rowOff>
    </xdr:to>
    <xdr:sp>
      <xdr:nvSpPr>
        <xdr:cNvPr id="69" name="Line 81"/>
        <xdr:cNvSpPr>
          <a:spLocks/>
        </xdr:cNvSpPr>
      </xdr:nvSpPr>
      <xdr:spPr>
        <a:xfrm flipH="1">
          <a:off x="2190750" y="6172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152400</xdr:rowOff>
    </xdr:from>
    <xdr:to>
      <xdr:col>8</xdr:col>
      <xdr:colOff>0</xdr:colOff>
      <xdr:row>38</xdr:row>
      <xdr:rowOff>123825</xdr:rowOff>
    </xdr:to>
    <xdr:sp>
      <xdr:nvSpPr>
        <xdr:cNvPr id="70" name="Line 82"/>
        <xdr:cNvSpPr>
          <a:spLocks/>
        </xdr:cNvSpPr>
      </xdr:nvSpPr>
      <xdr:spPr>
        <a:xfrm flipV="1">
          <a:off x="3305175" y="6172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152400</xdr:rowOff>
    </xdr:from>
    <xdr:to>
      <xdr:col>8</xdr:col>
      <xdr:colOff>190500</xdr:colOff>
      <xdr:row>36</xdr:row>
      <xdr:rowOff>152400</xdr:rowOff>
    </xdr:to>
    <xdr:sp>
      <xdr:nvSpPr>
        <xdr:cNvPr id="71" name="Line 83"/>
        <xdr:cNvSpPr>
          <a:spLocks/>
        </xdr:cNvSpPr>
      </xdr:nvSpPr>
      <xdr:spPr>
        <a:xfrm>
          <a:off x="3305175" y="6172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28</xdr:row>
      <xdr:rowOff>104775</xdr:rowOff>
    </xdr:to>
    <xdr:sp>
      <xdr:nvSpPr>
        <xdr:cNvPr id="72" name="Line 84"/>
        <xdr:cNvSpPr>
          <a:spLocks/>
        </xdr:cNvSpPr>
      </xdr:nvSpPr>
      <xdr:spPr>
        <a:xfrm flipV="1">
          <a:off x="2076450" y="44196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28575</xdr:rowOff>
    </xdr:from>
    <xdr:to>
      <xdr:col>4</xdr:col>
      <xdr:colOff>0</xdr:colOff>
      <xdr:row>28</xdr:row>
      <xdr:rowOff>0</xdr:rowOff>
    </xdr:to>
    <xdr:sp>
      <xdr:nvSpPr>
        <xdr:cNvPr id="73" name="Line 85"/>
        <xdr:cNvSpPr>
          <a:spLocks/>
        </xdr:cNvSpPr>
      </xdr:nvSpPr>
      <xdr:spPr>
        <a:xfrm flipV="1">
          <a:off x="1666875" y="4429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28</xdr:row>
      <xdr:rowOff>0</xdr:rowOff>
    </xdr:from>
    <xdr:to>
      <xdr:col>3</xdr:col>
      <xdr:colOff>400050</xdr:colOff>
      <xdr:row>28</xdr:row>
      <xdr:rowOff>0</xdr:rowOff>
    </xdr:to>
    <xdr:sp>
      <xdr:nvSpPr>
        <xdr:cNvPr id="74" name="Line 86"/>
        <xdr:cNvSpPr>
          <a:spLocks/>
        </xdr:cNvSpPr>
      </xdr:nvSpPr>
      <xdr:spPr>
        <a:xfrm flipH="1">
          <a:off x="1362075" y="4724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28575</xdr:rowOff>
    </xdr:from>
    <xdr:to>
      <xdr:col>6</xdr:col>
      <xdr:colOff>0</xdr:colOff>
      <xdr:row>28</xdr:row>
      <xdr:rowOff>0</xdr:rowOff>
    </xdr:to>
    <xdr:sp>
      <xdr:nvSpPr>
        <xdr:cNvPr id="75" name="Line 87"/>
        <xdr:cNvSpPr>
          <a:spLocks/>
        </xdr:cNvSpPr>
      </xdr:nvSpPr>
      <xdr:spPr>
        <a:xfrm flipV="1">
          <a:off x="2486025" y="4429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190500</xdr:colOff>
      <xdr:row>28</xdr:row>
      <xdr:rowOff>0</xdr:rowOff>
    </xdr:to>
    <xdr:sp>
      <xdr:nvSpPr>
        <xdr:cNvPr id="76" name="Line 88"/>
        <xdr:cNvSpPr>
          <a:spLocks/>
        </xdr:cNvSpPr>
      </xdr:nvSpPr>
      <xdr:spPr>
        <a:xfrm>
          <a:off x="2486025" y="4724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0</xdr:col>
      <xdr:colOff>495300</xdr:colOff>
      <xdr:row>32</xdr:row>
      <xdr:rowOff>104775</xdr:rowOff>
    </xdr:to>
    <xdr:sp>
      <xdr:nvSpPr>
        <xdr:cNvPr id="77" name="AutoShape 93"/>
        <xdr:cNvSpPr>
          <a:spLocks/>
        </xdr:cNvSpPr>
      </xdr:nvSpPr>
      <xdr:spPr>
        <a:xfrm>
          <a:off x="57150" y="5124450"/>
          <a:ext cx="438150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31</xdr:row>
      <xdr:rowOff>57150</xdr:rowOff>
    </xdr:from>
    <xdr:to>
      <xdr:col>10</xdr:col>
      <xdr:colOff>485775</xdr:colOff>
      <xdr:row>33</xdr:row>
      <xdr:rowOff>85725</xdr:rowOff>
    </xdr:to>
    <xdr:sp>
      <xdr:nvSpPr>
        <xdr:cNvPr id="78" name="AutoShape 94"/>
        <xdr:cNvSpPr>
          <a:spLocks/>
        </xdr:cNvSpPr>
      </xdr:nvSpPr>
      <xdr:spPr>
        <a:xfrm>
          <a:off x="4152900" y="5267325"/>
          <a:ext cx="523875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114300</xdr:rowOff>
    </xdr:from>
    <xdr:to>
      <xdr:col>7</xdr:col>
      <xdr:colOff>19050</xdr:colOff>
      <xdr:row>25</xdr:row>
      <xdr:rowOff>66675</xdr:rowOff>
    </xdr:to>
    <xdr:sp>
      <xdr:nvSpPr>
        <xdr:cNvPr id="79" name="AutoShape 95"/>
        <xdr:cNvSpPr>
          <a:spLocks/>
        </xdr:cNvSpPr>
      </xdr:nvSpPr>
      <xdr:spPr>
        <a:xfrm>
          <a:off x="2085975" y="4029075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39</xdr:row>
      <xdr:rowOff>95250</xdr:rowOff>
    </xdr:from>
    <xdr:to>
      <xdr:col>6</xdr:col>
      <xdr:colOff>0</xdr:colOff>
      <xdr:row>41</xdr:row>
      <xdr:rowOff>47625</xdr:rowOff>
    </xdr:to>
    <xdr:sp>
      <xdr:nvSpPr>
        <xdr:cNvPr id="80" name="AutoShape 96"/>
        <xdr:cNvSpPr>
          <a:spLocks/>
        </xdr:cNvSpPr>
      </xdr:nvSpPr>
      <xdr:spPr>
        <a:xfrm>
          <a:off x="1657350" y="6600825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29</xdr:row>
      <xdr:rowOff>85725</xdr:rowOff>
    </xdr:from>
    <xdr:to>
      <xdr:col>6</xdr:col>
      <xdr:colOff>47625</xdr:colOff>
      <xdr:row>31</xdr:row>
      <xdr:rowOff>114300</xdr:rowOff>
    </xdr:to>
    <xdr:sp>
      <xdr:nvSpPr>
        <xdr:cNvPr id="81" name="AutoShape 97"/>
        <xdr:cNvSpPr>
          <a:spLocks/>
        </xdr:cNvSpPr>
      </xdr:nvSpPr>
      <xdr:spPr>
        <a:xfrm>
          <a:off x="2066925" y="4972050"/>
          <a:ext cx="466725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123825</xdr:rowOff>
    </xdr:from>
    <xdr:to>
      <xdr:col>7</xdr:col>
      <xdr:colOff>9525</xdr:colOff>
      <xdr:row>34</xdr:row>
      <xdr:rowOff>76200</xdr:rowOff>
    </xdr:to>
    <xdr:sp>
      <xdr:nvSpPr>
        <xdr:cNvPr id="82" name="AutoShape 98"/>
        <xdr:cNvSpPr>
          <a:spLocks/>
        </xdr:cNvSpPr>
      </xdr:nvSpPr>
      <xdr:spPr>
        <a:xfrm>
          <a:off x="2076450" y="5495925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32</xdr:row>
      <xdr:rowOff>142875</xdr:rowOff>
    </xdr:from>
    <xdr:to>
      <xdr:col>14</xdr:col>
      <xdr:colOff>66675</xdr:colOff>
      <xdr:row>32</xdr:row>
      <xdr:rowOff>142875</xdr:rowOff>
    </xdr:to>
    <xdr:sp>
      <xdr:nvSpPr>
        <xdr:cNvPr id="83" name="Line 99"/>
        <xdr:cNvSpPr>
          <a:spLocks/>
        </xdr:cNvSpPr>
      </xdr:nvSpPr>
      <xdr:spPr>
        <a:xfrm>
          <a:off x="5467350" y="5514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31</xdr:row>
      <xdr:rowOff>104775</xdr:rowOff>
    </xdr:from>
    <xdr:to>
      <xdr:col>14</xdr:col>
      <xdr:colOff>66675</xdr:colOff>
      <xdr:row>32</xdr:row>
      <xdr:rowOff>142875</xdr:rowOff>
    </xdr:to>
    <xdr:sp>
      <xdr:nvSpPr>
        <xdr:cNvPr id="84" name="Line 100"/>
        <xdr:cNvSpPr>
          <a:spLocks/>
        </xdr:cNvSpPr>
      </xdr:nvSpPr>
      <xdr:spPr>
        <a:xfrm flipH="1" flipV="1">
          <a:off x="6029325" y="53149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142875</xdr:rowOff>
    </xdr:from>
    <xdr:to>
      <xdr:col>14</xdr:col>
      <xdr:colOff>152400</xdr:colOff>
      <xdr:row>33</xdr:row>
      <xdr:rowOff>142875</xdr:rowOff>
    </xdr:to>
    <xdr:sp>
      <xdr:nvSpPr>
        <xdr:cNvPr id="85" name="Line 101"/>
        <xdr:cNvSpPr>
          <a:spLocks/>
        </xdr:cNvSpPr>
      </xdr:nvSpPr>
      <xdr:spPr>
        <a:xfrm>
          <a:off x="5457825" y="5676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34</xdr:row>
      <xdr:rowOff>152400</xdr:rowOff>
    </xdr:from>
    <xdr:to>
      <xdr:col>14</xdr:col>
      <xdr:colOff>66675</xdr:colOff>
      <xdr:row>34</xdr:row>
      <xdr:rowOff>152400</xdr:rowOff>
    </xdr:to>
    <xdr:sp>
      <xdr:nvSpPr>
        <xdr:cNvPr id="86" name="Line 102"/>
        <xdr:cNvSpPr>
          <a:spLocks/>
        </xdr:cNvSpPr>
      </xdr:nvSpPr>
      <xdr:spPr>
        <a:xfrm>
          <a:off x="5467350" y="5848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34</xdr:row>
      <xdr:rowOff>152400</xdr:rowOff>
    </xdr:from>
    <xdr:to>
      <xdr:col>14</xdr:col>
      <xdr:colOff>66675</xdr:colOff>
      <xdr:row>36</xdr:row>
      <xdr:rowOff>19050</xdr:rowOff>
    </xdr:to>
    <xdr:sp>
      <xdr:nvSpPr>
        <xdr:cNvPr id="87" name="Line 103"/>
        <xdr:cNvSpPr>
          <a:spLocks/>
        </xdr:cNvSpPr>
      </xdr:nvSpPr>
      <xdr:spPr>
        <a:xfrm flipH="1">
          <a:off x="6029325" y="58483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29</xdr:row>
      <xdr:rowOff>142875</xdr:rowOff>
    </xdr:from>
    <xdr:to>
      <xdr:col>20</xdr:col>
      <xdr:colOff>419100</xdr:colOff>
      <xdr:row>29</xdr:row>
      <xdr:rowOff>142875</xdr:rowOff>
    </xdr:to>
    <xdr:sp>
      <xdr:nvSpPr>
        <xdr:cNvPr id="88" name="Line 104"/>
        <xdr:cNvSpPr>
          <a:spLocks/>
        </xdr:cNvSpPr>
      </xdr:nvSpPr>
      <xdr:spPr>
        <a:xfrm>
          <a:off x="8134350" y="5029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142875</xdr:rowOff>
    </xdr:from>
    <xdr:to>
      <xdr:col>21</xdr:col>
      <xdr:colOff>47625</xdr:colOff>
      <xdr:row>30</xdr:row>
      <xdr:rowOff>142875</xdr:rowOff>
    </xdr:to>
    <xdr:sp>
      <xdr:nvSpPr>
        <xdr:cNvPr id="89" name="Line 105"/>
        <xdr:cNvSpPr>
          <a:spLocks/>
        </xdr:cNvSpPr>
      </xdr:nvSpPr>
      <xdr:spPr>
        <a:xfrm>
          <a:off x="8020050" y="51911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31</xdr:row>
      <xdr:rowOff>152400</xdr:rowOff>
    </xdr:from>
    <xdr:to>
      <xdr:col>20</xdr:col>
      <xdr:colOff>419100</xdr:colOff>
      <xdr:row>31</xdr:row>
      <xdr:rowOff>152400</xdr:rowOff>
    </xdr:to>
    <xdr:sp>
      <xdr:nvSpPr>
        <xdr:cNvPr id="90" name="Line 106"/>
        <xdr:cNvSpPr>
          <a:spLocks/>
        </xdr:cNvSpPr>
      </xdr:nvSpPr>
      <xdr:spPr>
        <a:xfrm>
          <a:off x="8134350" y="53625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28</xdr:row>
      <xdr:rowOff>95250</xdr:rowOff>
    </xdr:from>
    <xdr:to>
      <xdr:col>19</xdr:col>
      <xdr:colOff>114300</xdr:colOff>
      <xdr:row>29</xdr:row>
      <xdr:rowOff>133350</xdr:rowOff>
    </xdr:to>
    <xdr:sp>
      <xdr:nvSpPr>
        <xdr:cNvPr id="91" name="Line 107"/>
        <xdr:cNvSpPr>
          <a:spLocks/>
        </xdr:cNvSpPr>
      </xdr:nvSpPr>
      <xdr:spPr>
        <a:xfrm flipH="1" flipV="1">
          <a:off x="8124825" y="48196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31</xdr:row>
      <xdr:rowOff>142875</xdr:rowOff>
    </xdr:from>
    <xdr:to>
      <xdr:col>19</xdr:col>
      <xdr:colOff>123825</xdr:colOff>
      <xdr:row>33</xdr:row>
      <xdr:rowOff>9525</xdr:rowOff>
    </xdr:to>
    <xdr:sp>
      <xdr:nvSpPr>
        <xdr:cNvPr id="92" name="Line 108"/>
        <xdr:cNvSpPr>
          <a:spLocks/>
        </xdr:cNvSpPr>
      </xdr:nvSpPr>
      <xdr:spPr>
        <a:xfrm flipH="1">
          <a:off x="8134350" y="53530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57150</xdr:rowOff>
    </xdr:from>
    <xdr:to>
      <xdr:col>18</xdr:col>
      <xdr:colOff>0</xdr:colOff>
      <xdr:row>38</xdr:row>
      <xdr:rowOff>142875</xdr:rowOff>
    </xdr:to>
    <xdr:sp>
      <xdr:nvSpPr>
        <xdr:cNvPr id="93" name="Line 109"/>
        <xdr:cNvSpPr>
          <a:spLocks/>
        </xdr:cNvSpPr>
      </xdr:nvSpPr>
      <xdr:spPr>
        <a:xfrm flipV="1">
          <a:off x="7610475" y="60769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152400</xdr:rowOff>
    </xdr:from>
    <xdr:to>
      <xdr:col>17</xdr:col>
      <xdr:colOff>0</xdr:colOff>
      <xdr:row>38</xdr:row>
      <xdr:rowOff>123825</xdr:rowOff>
    </xdr:to>
    <xdr:sp>
      <xdr:nvSpPr>
        <xdr:cNvPr id="94" name="Line 110"/>
        <xdr:cNvSpPr>
          <a:spLocks/>
        </xdr:cNvSpPr>
      </xdr:nvSpPr>
      <xdr:spPr>
        <a:xfrm flipV="1">
          <a:off x="7200900" y="6172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36</xdr:row>
      <xdr:rowOff>152400</xdr:rowOff>
    </xdr:from>
    <xdr:to>
      <xdr:col>17</xdr:col>
      <xdr:colOff>0</xdr:colOff>
      <xdr:row>36</xdr:row>
      <xdr:rowOff>152400</xdr:rowOff>
    </xdr:to>
    <xdr:sp>
      <xdr:nvSpPr>
        <xdr:cNvPr id="95" name="Line 111"/>
        <xdr:cNvSpPr>
          <a:spLocks/>
        </xdr:cNvSpPr>
      </xdr:nvSpPr>
      <xdr:spPr>
        <a:xfrm flipH="1">
          <a:off x="6905625" y="6172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152400</xdr:rowOff>
    </xdr:from>
    <xdr:to>
      <xdr:col>19</xdr:col>
      <xdr:colOff>0</xdr:colOff>
      <xdr:row>38</xdr:row>
      <xdr:rowOff>123825</xdr:rowOff>
    </xdr:to>
    <xdr:sp>
      <xdr:nvSpPr>
        <xdr:cNvPr id="96" name="Line 112"/>
        <xdr:cNvSpPr>
          <a:spLocks/>
        </xdr:cNvSpPr>
      </xdr:nvSpPr>
      <xdr:spPr>
        <a:xfrm flipV="1">
          <a:off x="8020050" y="6172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152400</xdr:rowOff>
    </xdr:from>
    <xdr:to>
      <xdr:col>19</xdr:col>
      <xdr:colOff>190500</xdr:colOff>
      <xdr:row>36</xdr:row>
      <xdr:rowOff>152400</xdr:rowOff>
    </xdr:to>
    <xdr:sp>
      <xdr:nvSpPr>
        <xdr:cNvPr id="97" name="Line 113"/>
        <xdr:cNvSpPr>
          <a:spLocks/>
        </xdr:cNvSpPr>
      </xdr:nvSpPr>
      <xdr:spPr>
        <a:xfrm>
          <a:off x="8020050" y="6172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19050</xdr:rowOff>
    </xdr:from>
    <xdr:to>
      <xdr:col>16</xdr:col>
      <xdr:colOff>0</xdr:colOff>
      <xdr:row>28</xdr:row>
      <xdr:rowOff>104775</xdr:rowOff>
    </xdr:to>
    <xdr:sp>
      <xdr:nvSpPr>
        <xdr:cNvPr id="98" name="Line 114"/>
        <xdr:cNvSpPr>
          <a:spLocks/>
        </xdr:cNvSpPr>
      </xdr:nvSpPr>
      <xdr:spPr>
        <a:xfrm flipV="1">
          <a:off x="6791325" y="44196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28575</xdr:rowOff>
    </xdr:from>
    <xdr:to>
      <xdr:col>15</xdr:col>
      <xdr:colOff>0</xdr:colOff>
      <xdr:row>28</xdr:row>
      <xdr:rowOff>0</xdr:rowOff>
    </xdr:to>
    <xdr:sp>
      <xdr:nvSpPr>
        <xdr:cNvPr id="99" name="Line 115"/>
        <xdr:cNvSpPr>
          <a:spLocks/>
        </xdr:cNvSpPr>
      </xdr:nvSpPr>
      <xdr:spPr>
        <a:xfrm flipV="1">
          <a:off x="6381750" y="4429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28</xdr:row>
      <xdr:rowOff>0</xdr:rowOff>
    </xdr:from>
    <xdr:to>
      <xdr:col>14</xdr:col>
      <xdr:colOff>400050</xdr:colOff>
      <xdr:row>28</xdr:row>
      <xdr:rowOff>0</xdr:rowOff>
    </xdr:to>
    <xdr:sp>
      <xdr:nvSpPr>
        <xdr:cNvPr id="100" name="Line 116"/>
        <xdr:cNvSpPr>
          <a:spLocks/>
        </xdr:cNvSpPr>
      </xdr:nvSpPr>
      <xdr:spPr>
        <a:xfrm flipH="1">
          <a:off x="6076950" y="4724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28575</xdr:rowOff>
    </xdr:from>
    <xdr:to>
      <xdr:col>17</xdr:col>
      <xdr:colOff>0</xdr:colOff>
      <xdr:row>28</xdr:row>
      <xdr:rowOff>0</xdr:rowOff>
    </xdr:to>
    <xdr:sp>
      <xdr:nvSpPr>
        <xdr:cNvPr id="101" name="Line 117"/>
        <xdr:cNvSpPr>
          <a:spLocks/>
        </xdr:cNvSpPr>
      </xdr:nvSpPr>
      <xdr:spPr>
        <a:xfrm flipV="1">
          <a:off x="7200900" y="4429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0</xdr:rowOff>
    </xdr:to>
    <xdr:sp>
      <xdr:nvSpPr>
        <xdr:cNvPr id="102" name="Line 118"/>
        <xdr:cNvSpPr>
          <a:spLocks/>
        </xdr:cNvSpPr>
      </xdr:nvSpPr>
      <xdr:spPr>
        <a:xfrm>
          <a:off x="7200900" y="4724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30</xdr:row>
      <xdr:rowOff>76200</xdr:rowOff>
    </xdr:from>
    <xdr:to>
      <xdr:col>11</xdr:col>
      <xdr:colOff>495300</xdr:colOff>
      <xdr:row>32</xdr:row>
      <xdr:rowOff>104775</xdr:rowOff>
    </xdr:to>
    <xdr:sp>
      <xdr:nvSpPr>
        <xdr:cNvPr id="103" name="AutoShape 123"/>
        <xdr:cNvSpPr>
          <a:spLocks/>
        </xdr:cNvSpPr>
      </xdr:nvSpPr>
      <xdr:spPr>
        <a:xfrm>
          <a:off x="4772025" y="5124450"/>
          <a:ext cx="438150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31</xdr:row>
      <xdr:rowOff>57150</xdr:rowOff>
    </xdr:from>
    <xdr:to>
      <xdr:col>21</xdr:col>
      <xdr:colOff>485775</xdr:colOff>
      <xdr:row>33</xdr:row>
      <xdr:rowOff>85725</xdr:rowOff>
    </xdr:to>
    <xdr:sp>
      <xdr:nvSpPr>
        <xdr:cNvPr id="104" name="AutoShape 124"/>
        <xdr:cNvSpPr>
          <a:spLocks/>
        </xdr:cNvSpPr>
      </xdr:nvSpPr>
      <xdr:spPr>
        <a:xfrm>
          <a:off x="8877300" y="5267325"/>
          <a:ext cx="542925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23</xdr:row>
      <xdr:rowOff>114300</xdr:rowOff>
    </xdr:from>
    <xdr:to>
      <xdr:col>18</xdr:col>
      <xdr:colOff>19050</xdr:colOff>
      <xdr:row>25</xdr:row>
      <xdr:rowOff>66675</xdr:rowOff>
    </xdr:to>
    <xdr:sp>
      <xdr:nvSpPr>
        <xdr:cNvPr id="105" name="AutoShape 125"/>
        <xdr:cNvSpPr>
          <a:spLocks/>
        </xdr:cNvSpPr>
      </xdr:nvSpPr>
      <xdr:spPr>
        <a:xfrm>
          <a:off x="6800850" y="4029075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39</xdr:row>
      <xdr:rowOff>95250</xdr:rowOff>
    </xdr:from>
    <xdr:to>
      <xdr:col>17</xdr:col>
      <xdr:colOff>0</xdr:colOff>
      <xdr:row>41</xdr:row>
      <xdr:rowOff>47625</xdr:rowOff>
    </xdr:to>
    <xdr:sp>
      <xdr:nvSpPr>
        <xdr:cNvPr id="106" name="AutoShape 126"/>
        <xdr:cNvSpPr>
          <a:spLocks/>
        </xdr:cNvSpPr>
      </xdr:nvSpPr>
      <xdr:spPr>
        <a:xfrm>
          <a:off x="6372225" y="6600825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29</xdr:row>
      <xdr:rowOff>85725</xdr:rowOff>
    </xdr:from>
    <xdr:to>
      <xdr:col>17</xdr:col>
      <xdr:colOff>47625</xdr:colOff>
      <xdr:row>31</xdr:row>
      <xdr:rowOff>114300</xdr:rowOff>
    </xdr:to>
    <xdr:sp>
      <xdr:nvSpPr>
        <xdr:cNvPr id="107" name="AutoShape 127"/>
        <xdr:cNvSpPr>
          <a:spLocks/>
        </xdr:cNvSpPr>
      </xdr:nvSpPr>
      <xdr:spPr>
        <a:xfrm>
          <a:off x="6781800" y="4972050"/>
          <a:ext cx="466725" cy="35242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123825</xdr:rowOff>
    </xdr:from>
    <xdr:to>
      <xdr:col>18</xdr:col>
      <xdr:colOff>9525</xdr:colOff>
      <xdr:row>34</xdr:row>
      <xdr:rowOff>76200</xdr:rowOff>
    </xdr:to>
    <xdr:sp>
      <xdr:nvSpPr>
        <xdr:cNvPr id="108" name="AutoShape 128"/>
        <xdr:cNvSpPr>
          <a:spLocks/>
        </xdr:cNvSpPr>
      </xdr:nvSpPr>
      <xdr:spPr>
        <a:xfrm>
          <a:off x="6791325" y="5495925"/>
          <a:ext cx="828675" cy="2762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142875</xdr:rowOff>
    </xdr:from>
    <xdr:to>
      <xdr:col>3</xdr:col>
      <xdr:colOff>66675</xdr:colOff>
      <xdr:row>55</xdr:row>
      <xdr:rowOff>142875</xdr:rowOff>
    </xdr:to>
    <xdr:sp>
      <xdr:nvSpPr>
        <xdr:cNvPr id="109" name="Line 129"/>
        <xdr:cNvSpPr>
          <a:spLocks/>
        </xdr:cNvSpPr>
      </xdr:nvSpPr>
      <xdr:spPr>
        <a:xfrm>
          <a:off x="752475" y="9391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54</xdr:row>
      <xdr:rowOff>104775</xdr:rowOff>
    </xdr:from>
    <xdr:to>
      <xdr:col>3</xdr:col>
      <xdr:colOff>66675</xdr:colOff>
      <xdr:row>55</xdr:row>
      <xdr:rowOff>142875</xdr:rowOff>
    </xdr:to>
    <xdr:sp>
      <xdr:nvSpPr>
        <xdr:cNvPr id="110" name="Line 130"/>
        <xdr:cNvSpPr>
          <a:spLocks/>
        </xdr:cNvSpPr>
      </xdr:nvSpPr>
      <xdr:spPr>
        <a:xfrm flipH="1" flipV="1">
          <a:off x="1314450" y="91916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56</xdr:row>
      <xdr:rowOff>142875</xdr:rowOff>
    </xdr:from>
    <xdr:to>
      <xdr:col>3</xdr:col>
      <xdr:colOff>152400</xdr:colOff>
      <xdr:row>56</xdr:row>
      <xdr:rowOff>142875</xdr:rowOff>
    </xdr:to>
    <xdr:sp>
      <xdr:nvSpPr>
        <xdr:cNvPr id="111" name="Line 131"/>
        <xdr:cNvSpPr>
          <a:spLocks/>
        </xdr:cNvSpPr>
      </xdr:nvSpPr>
      <xdr:spPr>
        <a:xfrm>
          <a:off x="742950" y="9553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57</xdr:row>
      <xdr:rowOff>152400</xdr:rowOff>
    </xdr:from>
    <xdr:to>
      <xdr:col>3</xdr:col>
      <xdr:colOff>66675</xdr:colOff>
      <xdr:row>57</xdr:row>
      <xdr:rowOff>152400</xdr:rowOff>
    </xdr:to>
    <xdr:sp>
      <xdr:nvSpPr>
        <xdr:cNvPr id="112" name="Line 132"/>
        <xdr:cNvSpPr>
          <a:spLocks/>
        </xdr:cNvSpPr>
      </xdr:nvSpPr>
      <xdr:spPr>
        <a:xfrm>
          <a:off x="752475" y="9725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57</xdr:row>
      <xdr:rowOff>152400</xdr:rowOff>
    </xdr:from>
    <xdr:to>
      <xdr:col>3</xdr:col>
      <xdr:colOff>66675</xdr:colOff>
      <xdr:row>59</xdr:row>
      <xdr:rowOff>19050</xdr:rowOff>
    </xdr:to>
    <xdr:sp>
      <xdr:nvSpPr>
        <xdr:cNvPr id="113" name="Line 133"/>
        <xdr:cNvSpPr>
          <a:spLocks/>
        </xdr:cNvSpPr>
      </xdr:nvSpPr>
      <xdr:spPr>
        <a:xfrm flipH="1">
          <a:off x="1314450" y="97250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52</xdr:row>
      <xdr:rowOff>142875</xdr:rowOff>
    </xdr:from>
    <xdr:to>
      <xdr:col>9</xdr:col>
      <xdr:colOff>419100</xdr:colOff>
      <xdr:row>52</xdr:row>
      <xdr:rowOff>142875</xdr:rowOff>
    </xdr:to>
    <xdr:sp>
      <xdr:nvSpPr>
        <xdr:cNvPr id="114" name="Line 134"/>
        <xdr:cNvSpPr>
          <a:spLocks/>
        </xdr:cNvSpPr>
      </xdr:nvSpPr>
      <xdr:spPr>
        <a:xfrm>
          <a:off x="3419475" y="89058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142875</xdr:rowOff>
    </xdr:from>
    <xdr:to>
      <xdr:col>10</xdr:col>
      <xdr:colOff>47625</xdr:colOff>
      <xdr:row>53</xdr:row>
      <xdr:rowOff>142875</xdr:rowOff>
    </xdr:to>
    <xdr:sp>
      <xdr:nvSpPr>
        <xdr:cNvPr id="115" name="Line 135"/>
        <xdr:cNvSpPr>
          <a:spLocks/>
        </xdr:cNvSpPr>
      </xdr:nvSpPr>
      <xdr:spPr>
        <a:xfrm>
          <a:off x="3305175" y="9067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54</xdr:row>
      <xdr:rowOff>152400</xdr:rowOff>
    </xdr:from>
    <xdr:to>
      <xdr:col>9</xdr:col>
      <xdr:colOff>419100</xdr:colOff>
      <xdr:row>54</xdr:row>
      <xdr:rowOff>152400</xdr:rowOff>
    </xdr:to>
    <xdr:sp>
      <xdr:nvSpPr>
        <xdr:cNvPr id="116" name="Line 136"/>
        <xdr:cNvSpPr>
          <a:spLocks/>
        </xdr:cNvSpPr>
      </xdr:nvSpPr>
      <xdr:spPr>
        <a:xfrm>
          <a:off x="3419475" y="92392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51</xdr:row>
      <xdr:rowOff>95250</xdr:rowOff>
    </xdr:from>
    <xdr:to>
      <xdr:col>8</xdr:col>
      <xdr:colOff>114300</xdr:colOff>
      <xdr:row>52</xdr:row>
      <xdr:rowOff>133350</xdr:rowOff>
    </xdr:to>
    <xdr:sp>
      <xdr:nvSpPr>
        <xdr:cNvPr id="117" name="Line 137"/>
        <xdr:cNvSpPr>
          <a:spLocks/>
        </xdr:cNvSpPr>
      </xdr:nvSpPr>
      <xdr:spPr>
        <a:xfrm flipH="1" flipV="1">
          <a:off x="3409950" y="8696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54</xdr:row>
      <xdr:rowOff>142875</xdr:rowOff>
    </xdr:from>
    <xdr:to>
      <xdr:col>8</xdr:col>
      <xdr:colOff>123825</xdr:colOff>
      <xdr:row>56</xdr:row>
      <xdr:rowOff>9525</xdr:rowOff>
    </xdr:to>
    <xdr:sp>
      <xdr:nvSpPr>
        <xdr:cNvPr id="118" name="Line 138"/>
        <xdr:cNvSpPr>
          <a:spLocks/>
        </xdr:cNvSpPr>
      </xdr:nvSpPr>
      <xdr:spPr>
        <a:xfrm flipH="1">
          <a:off x="3419475" y="92297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57150</xdr:rowOff>
    </xdr:from>
    <xdr:to>
      <xdr:col>7</xdr:col>
      <xdr:colOff>0</xdr:colOff>
      <xdr:row>61</xdr:row>
      <xdr:rowOff>142875</xdr:rowOff>
    </xdr:to>
    <xdr:sp>
      <xdr:nvSpPr>
        <xdr:cNvPr id="119" name="Line 139"/>
        <xdr:cNvSpPr>
          <a:spLocks/>
        </xdr:cNvSpPr>
      </xdr:nvSpPr>
      <xdr:spPr>
        <a:xfrm flipV="1">
          <a:off x="2895600" y="99536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152400</xdr:rowOff>
    </xdr:from>
    <xdr:to>
      <xdr:col>6</xdr:col>
      <xdr:colOff>0</xdr:colOff>
      <xdr:row>61</xdr:row>
      <xdr:rowOff>123825</xdr:rowOff>
    </xdr:to>
    <xdr:sp>
      <xdr:nvSpPr>
        <xdr:cNvPr id="120" name="Line 140"/>
        <xdr:cNvSpPr>
          <a:spLocks/>
        </xdr:cNvSpPr>
      </xdr:nvSpPr>
      <xdr:spPr>
        <a:xfrm flipV="1">
          <a:off x="2486025" y="1004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59</xdr:row>
      <xdr:rowOff>152400</xdr:rowOff>
    </xdr:from>
    <xdr:to>
      <xdr:col>6</xdr:col>
      <xdr:colOff>0</xdr:colOff>
      <xdr:row>59</xdr:row>
      <xdr:rowOff>152400</xdr:rowOff>
    </xdr:to>
    <xdr:sp>
      <xdr:nvSpPr>
        <xdr:cNvPr id="121" name="Line 141"/>
        <xdr:cNvSpPr>
          <a:spLocks/>
        </xdr:cNvSpPr>
      </xdr:nvSpPr>
      <xdr:spPr>
        <a:xfrm flipH="1">
          <a:off x="2190750" y="10048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152400</xdr:rowOff>
    </xdr:from>
    <xdr:to>
      <xdr:col>8</xdr:col>
      <xdr:colOff>0</xdr:colOff>
      <xdr:row>61</xdr:row>
      <xdr:rowOff>123825</xdr:rowOff>
    </xdr:to>
    <xdr:sp>
      <xdr:nvSpPr>
        <xdr:cNvPr id="122" name="Line 142"/>
        <xdr:cNvSpPr>
          <a:spLocks/>
        </xdr:cNvSpPr>
      </xdr:nvSpPr>
      <xdr:spPr>
        <a:xfrm flipV="1">
          <a:off x="3305175" y="1004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152400</xdr:rowOff>
    </xdr:from>
    <xdr:to>
      <xdr:col>8</xdr:col>
      <xdr:colOff>190500</xdr:colOff>
      <xdr:row>59</xdr:row>
      <xdr:rowOff>152400</xdr:rowOff>
    </xdr:to>
    <xdr:sp>
      <xdr:nvSpPr>
        <xdr:cNvPr id="123" name="Line 143"/>
        <xdr:cNvSpPr>
          <a:spLocks/>
        </xdr:cNvSpPr>
      </xdr:nvSpPr>
      <xdr:spPr>
        <a:xfrm>
          <a:off x="3305175" y="10048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19050</xdr:rowOff>
    </xdr:from>
    <xdr:to>
      <xdr:col>5</xdr:col>
      <xdr:colOff>0</xdr:colOff>
      <xdr:row>51</xdr:row>
      <xdr:rowOff>104775</xdr:rowOff>
    </xdr:to>
    <xdr:sp>
      <xdr:nvSpPr>
        <xdr:cNvPr id="124" name="Line 144"/>
        <xdr:cNvSpPr>
          <a:spLocks/>
        </xdr:cNvSpPr>
      </xdr:nvSpPr>
      <xdr:spPr>
        <a:xfrm flipV="1">
          <a:off x="2076450" y="8296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28575</xdr:rowOff>
    </xdr:from>
    <xdr:to>
      <xdr:col>4</xdr:col>
      <xdr:colOff>0</xdr:colOff>
      <xdr:row>51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1666875" y="8305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51</xdr:row>
      <xdr:rowOff>0</xdr:rowOff>
    </xdr:from>
    <xdr:to>
      <xdr:col>3</xdr:col>
      <xdr:colOff>400050</xdr:colOff>
      <xdr:row>51</xdr:row>
      <xdr:rowOff>0</xdr:rowOff>
    </xdr:to>
    <xdr:sp>
      <xdr:nvSpPr>
        <xdr:cNvPr id="126" name="Line 146"/>
        <xdr:cNvSpPr>
          <a:spLocks/>
        </xdr:cNvSpPr>
      </xdr:nvSpPr>
      <xdr:spPr>
        <a:xfrm flipH="1">
          <a:off x="1362075" y="8601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28575</xdr:rowOff>
    </xdr:from>
    <xdr:to>
      <xdr:col>6</xdr:col>
      <xdr:colOff>0</xdr:colOff>
      <xdr:row>51</xdr:row>
      <xdr:rowOff>0</xdr:rowOff>
    </xdr:to>
    <xdr:sp>
      <xdr:nvSpPr>
        <xdr:cNvPr id="127" name="Line 147"/>
        <xdr:cNvSpPr>
          <a:spLocks/>
        </xdr:cNvSpPr>
      </xdr:nvSpPr>
      <xdr:spPr>
        <a:xfrm flipV="1">
          <a:off x="2486025" y="8305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190500</xdr:colOff>
      <xdr:row>51</xdr:row>
      <xdr:rowOff>0</xdr:rowOff>
    </xdr:to>
    <xdr:sp>
      <xdr:nvSpPr>
        <xdr:cNvPr id="128" name="Line 148"/>
        <xdr:cNvSpPr>
          <a:spLocks/>
        </xdr:cNvSpPr>
      </xdr:nvSpPr>
      <xdr:spPr>
        <a:xfrm>
          <a:off x="2486025" y="8601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55</xdr:row>
      <xdr:rowOff>142875</xdr:rowOff>
    </xdr:from>
    <xdr:to>
      <xdr:col>14</xdr:col>
      <xdr:colOff>66675</xdr:colOff>
      <xdr:row>55</xdr:row>
      <xdr:rowOff>142875</xdr:rowOff>
    </xdr:to>
    <xdr:sp>
      <xdr:nvSpPr>
        <xdr:cNvPr id="129" name="Line 159"/>
        <xdr:cNvSpPr>
          <a:spLocks/>
        </xdr:cNvSpPr>
      </xdr:nvSpPr>
      <xdr:spPr>
        <a:xfrm>
          <a:off x="5467350" y="9391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54</xdr:row>
      <xdr:rowOff>104775</xdr:rowOff>
    </xdr:from>
    <xdr:to>
      <xdr:col>14</xdr:col>
      <xdr:colOff>66675</xdr:colOff>
      <xdr:row>55</xdr:row>
      <xdr:rowOff>142875</xdr:rowOff>
    </xdr:to>
    <xdr:sp>
      <xdr:nvSpPr>
        <xdr:cNvPr id="130" name="Line 160"/>
        <xdr:cNvSpPr>
          <a:spLocks/>
        </xdr:cNvSpPr>
      </xdr:nvSpPr>
      <xdr:spPr>
        <a:xfrm flipH="1" flipV="1">
          <a:off x="6029325" y="91916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56</xdr:row>
      <xdr:rowOff>142875</xdr:rowOff>
    </xdr:from>
    <xdr:to>
      <xdr:col>14</xdr:col>
      <xdr:colOff>152400</xdr:colOff>
      <xdr:row>56</xdr:row>
      <xdr:rowOff>142875</xdr:rowOff>
    </xdr:to>
    <xdr:sp>
      <xdr:nvSpPr>
        <xdr:cNvPr id="131" name="Line 161"/>
        <xdr:cNvSpPr>
          <a:spLocks/>
        </xdr:cNvSpPr>
      </xdr:nvSpPr>
      <xdr:spPr>
        <a:xfrm>
          <a:off x="5457825" y="9553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57</xdr:row>
      <xdr:rowOff>152400</xdr:rowOff>
    </xdr:from>
    <xdr:to>
      <xdr:col>14</xdr:col>
      <xdr:colOff>66675</xdr:colOff>
      <xdr:row>57</xdr:row>
      <xdr:rowOff>152400</xdr:rowOff>
    </xdr:to>
    <xdr:sp>
      <xdr:nvSpPr>
        <xdr:cNvPr id="132" name="Line 162"/>
        <xdr:cNvSpPr>
          <a:spLocks/>
        </xdr:cNvSpPr>
      </xdr:nvSpPr>
      <xdr:spPr>
        <a:xfrm>
          <a:off x="5467350" y="9725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57</xdr:row>
      <xdr:rowOff>152400</xdr:rowOff>
    </xdr:from>
    <xdr:to>
      <xdr:col>14</xdr:col>
      <xdr:colOff>66675</xdr:colOff>
      <xdr:row>59</xdr:row>
      <xdr:rowOff>19050</xdr:rowOff>
    </xdr:to>
    <xdr:sp>
      <xdr:nvSpPr>
        <xdr:cNvPr id="133" name="Line 163"/>
        <xdr:cNvSpPr>
          <a:spLocks/>
        </xdr:cNvSpPr>
      </xdr:nvSpPr>
      <xdr:spPr>
        <a:xfrm flipH="1">
          <a:off x="6029325" y="97250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52</xdr:row>
      <xdr:rowOff>142875</xdr:rowOff>
    </xdr:from>
    <xdr:to>
      <xdr:col>20</xdr:col>
      <xdr:colOff>419100</xdr:colOff>
      <xdr:row>52</xdr:row>
      <xdr:rowOff>142875</xdr:rowOff>
    </xdr:to>
    <xdr:sp>
      <xdr:nvSpPr>
        <xdr:cNvPr id="134" name="Line 164"/>
        <xdr:cNvSpPr>
          <a:spLocks/>
        </xdr:cNvSpPr>
      </xdr:nvSpPr>
      <xdr:spPr>
        <a:xfrm>
          <a:off x="8134350" y="8905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142875</xdr:rowOff>
    </xdr:from>
    <xdr:to>
      <xdr:col>21</xdr:col>
      <xdr:colOff>47625</xdr:colOff>
      <xdr:row>53</xdr:row>
      <xdr:rowOff>142875</xdr:rowOff>
    </xdr:to>
    <xdr:sp>
      <xdr:nvSpPr>
        <xdr:cNvPr id="135" name="Line 165"/>
        <xdr:cNvSpPr>
          <a:spLocks/>
        </xdr:cNvSpPr>
      </xdr:nvSpPr>
      <xdr:spPr>
        <a:xfrm>
          <a:off x="8020050" y="90678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54</xdr:row>
      <xdr:rowOff>152400</xdr:rowOff>
    </xdr:from>
    <xdr:to>
      <xdr:col>20</xdr:col>
      <xdr:colOff>419100</xdr:colOff>
      <xdr:row>54</xdr:row>
      <xdr:rowOff>152400</xdr:rowOff>
    </xdr:to>
    <xdr:sp>
      <xdr:nvSpPr>
        <xdr:cNvPr id="136" name="Line 166"/>
        <xdr:cNvSpPr>
          <a:spLocks/>
        </xdr:cNvSpPr>
      </xdr:nvSpPr>
      <xdr:spPr>
        <a:xfrm>
          <a:off x="8134350" y="92392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51</xdr:row>
      <xdr:rowOff>95250</xdr:rowOff>
    </xdr:from>
    <xdr:to>
      <xdr:col>19</xdr:col>
      <xdr:colOff>114300</xdr:colOff>
      <xdr:row>52</xdr:row>
      <xdr:rowOff>133350</xdr:rowOff>
    </xdr:to>
    <xdr:sp>
      <xdr:nvSpPr>
        <xdr:cNvPr id="137" name="Line 167"/>
        <xdr:cNvSpPr>
          <a:spLocks/>
        </xdr:cNvSpPr>
      </xdr:nvSpPr>
      <xdr:spPr>
        <a:xfrm flipH="1" flipV="1">
          <a:off x="8124825" y="8696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54</xdr:row>
      <xdr:rowOff>142875</xdr:rowOff>
    </xdr:from>
    <xdr:to>
      <xdr:col>19</xdr:col>
      <xdr:colOff>123825</xdr:colOff>
      <xdr:row>56</xdr:row>
      <xdr:rowOff>9525</xdr:rowOff>
    </xdr:to>
    <xdr:sp>
      <xdr:nvSpPr>
        <xdr:cNvPr id="138" name="Line 168"/>
        <xdr:cNvSpPr>
          <a:spLocks/>
        </xdr:cNvSpPr>
      </xdr:nvSpPr>
      <xdr:spPr>
        <a:xfrm flipH="1">
          <a:off x="8134350" y="92297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59</xdr:row>
      <xdr:rowOff>57150</xdr:rowOff>
    </xdr:from>
    <xdr:to>
      <xdr:col>18</xdr:col>
      <xdr:colOff>0</xdr:colOff>
      <xdr:row>61</xdr:row>
      <xdr:rowOff>142875</xdr:rowOff>
    </xdr:to>
    <xdr:sp>
      <xdr:nvSpPr>
        <xdr:cNvPr id="139" name="Line 169"/>
        <xdr:cNvSpPr>
          <a:spLocks/>
        </xdr:cNvSpPr>
      </xdr:nvSpPr>
      <xdr:spPr>
        <a:xfrm flipV="1">
          <a:off x="7610475" y="99536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152400</xdr:rowOff>
    </xdr:from>
    <xdr:to>
      <xdr:col>17</xdr:col>
      <xdr:colOff>0</xdr:colOff>
      <xdr:row>61</xdr:row>
      <xdr:rowOff>123825</xdr:rowOff>
    </xdr:to>
    <xdr:sp>
      <xdr:nvSpPr>
        <xdr:cNvPr id="140" name="Line 170"/>
        <xdr:cNvSpPr>
          <a:spLocks/>
        </xdr:cNvSpPr>
      </xdr:nvSpPr>
      <xdr:spPr>
        <a:xfrm flipV="1">
          <a:off x="7200900" y="1004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59</xdr:row>
      <xdr:rowOff>152400</xdr:rowOff>
    </xdr:from>
    <xdr:to>
      <xdr:col>17</xdr:col>
      <xdr:colOff>0</xdr:colOff>
      <xdr:row>59</xdr:row>
      <xdr:rowOff>152400</xdr:rowOff>
    </xdr:to>
    <xdr:sp>
      <xdr:nvSpPr>
        <xdr:cNvPr id="141" name="Line 171"/>
        <xdr:cNvSpPr>
          <a:spLocks/>
        </xdr:cNvSpPr>
      </xdr:nvSpPr>
      <xdr:spPr>
        <a:xfrm flipH="1">
          <a:off x="6905625" y="10048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152400</xdr:rowOff>
    </xdr:from>
    <xdr:to>
      <xdr:col>19</xdr:col>
      <xdr:colOff>0</xdr:colOff>
      <xdr:row>61</xdr:row>
      <xdr:rowOff>123825</xdr:rowOff>
    </xdr:to>
    <xdr:sp>
      <xdr:nvSpPr>
        <xdr:cNvPr id="142" name="Line 172"/>
        <xdr:cNvSpPr>
          <a:spLocks/>
        </xdr:cNvSpPr>
      </xdr:nvSpPr>
      <xdr:spPr>
        <a:xfrm flipV="1">
          <a:off x="8020050" y="1004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152400</xdr:rowOff>
    </xdr:from>
    <xdr:to>
      <xdr:col>19</xdr:col>
      <xdr:colOff>190500</xdr:colOff>
      <xdr:row>59</xdr:row>
      <xdr:rowOff>152400</xdr:rowOff>
    </xdr:to>
    <xdr:sp>
      <xdr:nvSpPr>
        <xdr:cNvPr id="143" name="Line 173"/>
        <xdr:cNvSpPr>
          <a:spLocks/>
        </xdr:cNvSpPr>
      </xdr:nvSpPr>
      <xdr:spPr>
        <a:xfrm>
          <a:off x="8020050" y="10048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19050</xdr:rowOff>
    </xdr:from>
    <xdr:to>
      <xdr:col>16</xdr:col>
      <xdr:colOff>0</xdr:colOff>
      <xdr:row>51</xdr:row>
      <xdr:rowOff>104775</xdr:rowOff>
    </xdr:to>
    <xdr:sp>
      <xdr:nvSpPr>
        <xdr:cNvPr id="144" name="Line 174"/>
        <xdr:cNvSpPr>
          <a:spLocks/>
        </xdr:cNvSpPr>
      </xdr:nvSpPr>
      <xdr:spPr>
        <a:xfrm flipV="1">
          <a:off x="6791325" y="8296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49</xdr:row>
      <xdr:rowOff>28575</xdr:rowOff>
    </xdr:from>
    <xdr:to>
      <xdr:col>15</xdr:col>
      <xdr:colOff>0</xdr:colOff>
      <xdr:row>51</xdr:row>
      <xdr:rowOff>0</xdr:rowOff>
    </xdr:to>
    <xdr:sp>
      <xdr:nvSpPr>
        <xdr:cNvPr id="145" name="Line 175"/>
        <xdr:cNvSpPr>
          <a:spLocks/>
        </xdr:cNvSpPr>
      </xdr:nvSpPr>
      <xdr:spPr>
        <a:xfrm flipV="1">
          <a:off x="6381750" y="8305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51</xdr:row>
      <xdr:rowOff>0</xdr:rowOff>
    </xdr:from>
    <xdr:to>
      <xdr:col>14</xdr:col>
      <xdr:colOff>400050</xdr:colOff>
      <xdr:row>51</xdr:row>
      <xdr:rowOff>0</xdr:rowOff>
    </xdr:to>
    <xdr:sp>
      <xdr:nvSpPr>
        <xdr:cNvPr id="146" name="Line 176"/>
        <xdr:cNvSpPr>
          <a:spLocks/>
        </xdr:cNvSpPr>
      </xdr:nvSpPr>
      <xdr:spPr>
        <a:xfrm flipH="1">
          <a:off x="6076950" y="8601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28575</xdr:rowOff>
    </xdr:from>
    <xdr:to>
      <xdr:col>17</xdr:col>
      <xdr:colOff>0</xdr:colOff>
      <xdr:row>51</xdr:row>
      <xdr:rowOff>0</xdr:rowOff>
    </xdr:to>
    <xdr:sp>
      <xdr:nvSpPr>
        <xdr:cNvPr id="147" name="Line 177"/>
        <xdr:cNvSpPr>
          <a:spLocks/>
        </xdr:cNvSpPr>
      </xdr:nvSpPr>
      <xdr:spPr>
        <a:xfrm flipV="1">
          <a:off x="7200900" y="8305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0</xdr:rowOff>
    </xdr:to>
    <xdr:sp>
      <xdr:nvSpPr>
        <xdr:cNvPr id="148" name="Line 178"/>
        <xdr:cNvSpPr>
          <a:spLocks/>
        </xdr:cNvSpPr>
      </xdr:nvSpPr>
      <xdr:spPr>
        <a:xfrm>
          <a:off x="7200900" y="8601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75</xdr:row>
      <xdr:rowOff>142875</xdr:rowOff>
    </xdr:from>
    <xdr:to>
      <xdr:col>3</xdr:col>
      <xdr:colOff>66675</xdr:colOff>
      <xdr:row>75</xdr:row>
      <xdr:rowOff>142875</xdr:rowOff>
    </xdr:to>
    <xdr:sp>
      <xdr:nvSpPr>
        <xdr:cNvPr id="149" name="Line 189"/>
        <xdr:cNvSpPr>
          <a:spLocks/>
        </xdr:cNvSpPr>
      </xdr:nvSpPr>
      <xdr:spPr>
        <a:xfrm>
          <a:off x="752475" y="1267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74</xdr:row>
      <xdr:rowOff>104775</xdr:rowOff>
    </xdr:from>
    <xdr:to>
      <xdr:col>3</xdr:col>
      <xdr:colOff>66675</xdr:colOff>
      <xdr:row>75</xdr:row>
      <xdr:rowOff>142875</xdr:rowOff>
    </xdr:to>
    <xdr:sp>
      <xdr:nvSpPr>
        <xdr:cNvPr id="150" name="Line 190"/>
        <xdr:cNvSpPr>
          <a:spLocks/>
        </xdr:cNvSpPr>
      </xdr:nvSpPr>
      <xdr:spPr>
        <a:xfrm flipH="1" flipV="1">
          <a:off x="1314450" y="1247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76</xdr:row>
      <xdr:rowOff>142875</xdr:rowOff>
    </xdr:from>
    <xdr:to>
      <xdr:col>3</xdr:col>
      <xdr:colOff>152400</xdr:colOff>
      <xdr:row>76</xdr:row>
      <xdr:rowOff>142875</xdr:rowOff>
    </xdr:to>
    <xdr:sp>
      <xdr:nvSpPr>
        <xdr:cNvPr id="151" name="Line 191"/>
        <xdr:cNvSpPr>
          <a:spLocks/>
        </xdr:cNvSpPr>
      </xdr:nvSpPr>
      <xdr:spPr>
        <a:xfrm>
          <a:off x="742950" y="12839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77</xdr:row>
      <xdr:rowOff>152400</xdr:rowOff>
    </xdr:from>
    <xdr:to>
      <xdr:col>3</xdr:col>
      <xdr:colOff>66675</xdr:colOff>
      <xdr:row>77</xdr:row>
      <xdr:rowOff>152400</xdr:rowOff>
    </xdr:to>
    <xdr:sp>
      <xdr:nvSpPr>
        <xdr:cNvPr id="152" name="Line 192"/>
        <xdr:cNvSpPr>
          <a:spLocks/>
        </xdr:cNvSpPr>
      </xdr:nvSpPr>
      <xdr:spPr>
        <a:xfrm>
          <a:off x="752475" y="13011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77</xdr:row>
      <xdr:rowOff>152400</xdr:rowOff>
    </xdr:from>
    <xdr:to>
      <xdr:col>3</xdr:col>
      <xdr:colOff>66675</xdr:colOff>
      <xdr:row>79</xdr:row>
      <xdr:rowOff>19050</xdr:rowOff>
    </xdr:to>
    <xdr:sp>
      <xdr:nvSpPr>
        <xdr:cNvPr id="153" name="Line 193"/>
        <xdr:cNvSpPr>
          <a:spLocks/>
        </xdr:cNvSpPr>
      </xdr:nvSpPr>
      <xdr:spPr>
        <a:xfrm flipH="1">
          <a:off x="1314450" y="130111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72</xdr:row>
      <xdr:rowOff>142875</xdr:rowOff>
    </xdr:from>
    <xdr:to>
      <xdr:col>9</xdr:col>
      <xdr:colOff>419100</xdr:colOff>
      <xdr:row>72</xdr:row>
      <xdr:rowOff>142875</xdr:rowOff>
    </xdr:to>
    <xdr:sp>
      <xdr:nvSpPr>
        <xdr:cNvPr id="154" name="Line 194"/>
        <xdr:cNvSpPr>
          <a:spLocks/>
        </xdr:cNvSpPr>
      </xdr:nvSpPr>
      <xdr:spPr>
        <a:xfrm>
          <a:off x="3419475" y="12192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142875</xdr:rowOff>
    </xdr:from>
    <xdr:to>
      <xdr:col>10</xdr:col>
      <xdr:colOff>47625</xdr:colOff>
      <xdr:row>73</xdr:row>
      <xdr:rowOff>142875</xdr:rowOff>
    </xdr:to>
    <xdr:sp>
      <xdr:nvSpPr>
        <xdr:cNvPr id="155" name="Line 195"/>
        <xdr:cNvSpPr>
          <a:spLocks/>
        </xdr:cNvSpPr>
      </xdr:nvSpPr>
      <xdr:spPr>
        <a:xfrm>
          <a:off x="3305175" y="12353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74</xdr:row>
      <xdr:rowOff>152400</xdr:rowOff>
    </xdr:from>
    <xdr:to>
      <xdr:col>9</xdr:col>
      <xdr:colOff>419100</xdr:colOff>
      <xdr:row>74</xdr:row>
      <xdr:rowOff>152400</xdr:rowOff>
    </xdr:to>
    <xdr:sp>
      <xdr:nvSpPr>
        <xdr:cNvPr id="156" name="Line 196"/>
        <xdr:cNvSpPr>
          <a:spLocks/>
        </xdr:cNvSpPr>
      </xdr:nvSpPr>
      <xdr:spPr>
        <a:xfrm>
          <a:off x="3419475" y="125253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71</xdr:row>
      <xdr:rowOff>95250</xdr:rowOff>
    </xdr:from>
    <xdr:to>
      <xdr:col>8</xdr:col>
      <xdr:colOff>114300</xdr:colOff>
      <xdr:row>72</xdr:row>
      <xdr:rowOff>133350</xdr:rowOff>
    </xdr:to>
    <xdr:sp>
      <xdr:nvSpPr>
        <xdr:cNvPr id="157" name="Line 197"/>
        <xdr:cNvSpPr>
          <a:spLocks/>
        </xdr:cNvSpPr>
      </xdr:nvSpPr>
      <xdr:spPr>
        <a:xfrm flipH="1" flipV="1">
          <a:off x="3409950" y="11982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74</xdr:row>
      <xdr:rowOff>142875</xdr:rowOff>
    </xdr:from>
    <xdr:to>
      <xdr:col>8</xdr:col>
      <xdr:colOff>123825</xdr:colOff>
      <xdr:row>76</xdr:row>
      <xdr:rowOff>9525</xdr:rowOff>
    </xdr:to>
    <xdr:sp>
      <xdr:nvSpPr>
        <xdr:cNvPr id="158" name="Line 198"/>
        <xdr:cNvSpPr>
          <a:spLocks/>
        </xdr:cNvSpPr>
      </xdr:nvSpPr>
      <xdr:spPr>
        <a:xfrm flipH="1">
          <a:off x="3419475" y="125158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57150</xdr:rowOff>
    </xdr:from>
    <xdr:to>
      <xdr:col>7</xdr:col>
      <xdr:colOff>0</xdr:colOff>
      <xdr:row>81</xdr:row>
      <xdr:rowOff>142875</xdr:rowOff>
    </xdr:to>
    <xdr:sp>
      <xdr:nvSpPr>
        <xdr:cNvPr id="159" name="Line 199"/>
        <xdr:cNvSpPr>
          <a:spLocks/>
        </xdr:cNvSpPr>
      </xdr:nvSpPr>
      <xdr:spPr>
        <a:xfrm flipV="1">
          <a:off x="2895600" y="13239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79</xdr:row>
      <xdr:rowOff>152400</xdr:rowOff>
    </xdr:from>
    <xdr:to>
      <xdr:col>6</xdr:col>
      <xdr:colOff>0</xdr:colOff>
      <xdr:row>81</xdr:row>
      <xdr:rowOff>123825</xdr:rowOff>
    </xdr:to>
    <xdr:sp>
      <xdr:nvSpPr>
        <xdr:cNvPr id="160" name="Line 200"/>
        <xdr:cNvSpPr>
          <a:spLocks/>
        </xdr:cNvSpPr>
      </xdr:nvSpPr>
      <xdr:spPr>
        <a:xfrm flipV="1">
          <a:off x="2486025" y="1333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79</xdr:row>
      <xdr:rowOff>152400</xdr:rowOff>
    </xdr:from>
    <xdr:to>
      <xdr:col>6</xdr:col>
      <xdr:colOff>0</xdr:colOff>
      <xdr:row>79</xdr:row>
      <xdr:rowOff>152400</xdr:rowOff>
    </xdr:to>
    <xdr:sp>
      <xdr:nvSpPr>
        <xdr:cNvPr id="161" name="Line 201"/>
        <xdr:cNvSpPr>
          <a:spLocks/>
        </xdr:cNvSpPr>
      </xdr:nvSpPr>
      <xdr:spPr>
        <a:xfrm flipH="1">
          <a:off x="2190750" y="133350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152400</xdr:rowOff>
    </xdr:from>
    <xdr:to>
      <xdr:col>8</xdr:col>
      <xdr:colOff>0</xdr:colOff>
      <xdr:row>81</xdr:row>
      <xdr:rowOff>123825</xdr:rowOff>
    </xdr:to>
    <xdr:sp>
      <xdr:nvSpPr>
        <xdr:cNvPr id="162" name="Line 202"/>
        <xdr:cNvSpPr>
          <a:spLocks/>
        </xdr:cNvSpPr>
      </xdr:nvSpPr>
      <xdr:spPr>
        <a:xfrm flipV="1">
          <a:off x="3305175" y="1333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152400</xdr:rowOff>
    </xdr:from>
    <xdr:to>
      <xdr:col>8</xdr:col>
      <xdr:colOff>190500</xdr:colOff>
      <xdr:row>79</xdr:row>
      <xdr:rowOff>152400</xdr:rowOff>
    </xdr:to>
    <xdr:sp>
      <xdr:nvSpPr>
        <xdr:cNvPr id="163" name="Line 203"/>
        <xdr:cNvSpPr>
          <a:spLocks/>
        </xdr:cNvSpPr>
      </xdr:nvSpPr>
      <xdr:spPr>
        <a:xfrm>
          <a:off x="3305175" y="13335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19050</xdr:rowOff>
    </xdr:from>
    <xdr:to>
      <xdr:col>5</xdr:col>
      <xdr:colOff>0</xdr:colOff>
      <xdr:row>71</xdr:row>
      <xdr:rowOff>104775</xdr:rowOff>
    </xdr:to>
    <xdr:sp>
      <xdr:nvSpPr>
        <xdr:cNvPr id="164" name="Line 204"/>
        <xdr:cNvSpPr>
          <a:spLocks/>
        </xdr:cNvSpPr>
      </xdr:nvSpPr>
      <xdr:spPr>
        <a:xfrm flipV="1">
          <a:off x="2076450" y="11582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</xdr:rowOff>
    </xdr:from>
    <xdr:to>
      <xdr:col>4</xdr:col>
      <xdr:colOff>0</xdr:colOff>
      <xdr:row>71</xdr:row>
      <xdr:rowOff>0</xdr:rowOff>
    </xdr:to>
    <xdr:sp>
      <xdr:nvSpPr>
        <xdr:cNvPr id="165" name="Line 205"/>
        <xdr:cNvSpPr>
          <a:spLocks/>
        </xdr:cNvSpPr>
      </xdr:nvSpPr>
      <xdr:spPr>
        <a:xfrm flipV="1">
          <a:off x="1666875" y="11591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71</xdr:row>
      <xdr:rowOff>0</xdr:rowOff>
    </xdr:from>
    <xdr:to>
      <xdr:col>3</xdr:col>
      <xdr:colOff>400050</xdr:colOff>
      <xdr:row>71</xdr:row>
      <xdr:rowOff>0</xdr:rowOff>
    </xdr:to>
    <xdr:sp>
      <xdr:nvSpPr>
        <xdr:cNvPr id="166" name="Line 206"/>
        <xdr:cNvSpPr>
          <a:spLocks/>
        </xdr:cNvSpPr>
      </xdr:nvSpPr>
      <xdr:spPr>
        <a:xfrm flipH="1">
          <a:off x="1362075" y="11887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28575</xdr:rowOff>
    </xdr:from>
    <xdr:to>
      <xdr:col>6</xdr:col>
      <xdr:colOff>0</xdr:colOff>
      <xdr:row>71</xdr:row>
      <xdr:rowOff>0</xdr:rowOff>
    </xdr:to>
    <xdr:sp>
      <xdr:nvSpPr>
        <xdr:cNvPr id="167" name="Line 207"/>
        <xdr:cNvSpPr>
          <a:spLocks/>
        </xdr:cNvSpPr>
      </xdr:nvSpPr>
      <xdr:spPr>
        <a:xfrm flipV="1">
          <a:off x="2486025" y="11591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190500</xdr:colOff>
      <xdr:row>71</xdr:row>
      <xdr:rowOff>0</xdr:rowOff>
    </xdr:to>
    <xdr:sp>
      <xdr:nvSpPr>
        <xdr:cNvPr id="168" name="Line 208"/>
        <xdr:cNvSpPr>
          <a:spLocks/>
        </xdr:cNvSpPr>
      </xdr:nvSpPr>
      <xdr:spPr>
        <a:xfrm>
          <a:off x="2486025" y="11887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75</xdr:row>
      <xdr:rowOff>142875</xdr:rowOff>
    </xdr:from>
    <xdr:to>
      <xdr:col>14</xdr:col>
      <xdr:colOff>66675</xdr:colOff>
      <xdr:row>75</xdr:row>
      <xdr:rowOff>142875</xdr:rowOff>
    </xdr:to>
    <xdr:sp>
      <xdr:nvSpPr>
        <xdr:cNvPr id="169" name="Line 219"/>
        <xdr:cNvSpPr>
          <a:spLocks/>
        </xdr:cNvSpPr>
      </xdr:nvSpPr>
      <xdr:spPr>
        <a:xfrm>
          <a:off x="5467350" y="1267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74</xdr:row>
      <xdr:rowOff>104775</xdr:rowOff>
    </xdr:from>
    <xdr:to>
      <xdr:col>14</xdr:col>
      <xdr:colOff>66675</xdr:colOff>
      <xdr:row>75</xdr:row>
      <xdr:rowOff>142875</xdr:rowOff>
    </xdr:to>
    <xdr:sp>
      <xdr:nvSpPr>
        <xdr:cNvPr id="170" name="Line 220"/>
        <xdr:cNvSpPr>
          <a:spLocks/>
        </xdr:cNvSpPr>
      </xdr:nvSpPr>
      <xdr:spPr>
        <a:xfrm flipH="1" flipV="1">
          <a:off x="6029325" y="1247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76</xdr:row>
      <xdr:rowOff>142875</xdr:rowOff>
    </xdr:from>
    <xdr:to>
      <xdr:col>14</xdr:col>
      <xdr:colOff>152400</xdr:colOff>
      <xdr:row>76</xdr:row>
      <xdr:rowOff>142875</xdr:rowOff>
    </xdr:to>
    <xdr:sp>
      <xdr:nvSpPr>
        <xdr:cNvPr id="171" name="Line 221"/>
        <xdr:cNvSpPr>
          <a:spLocks/>
        </xdr:cNvSpPr>
      </xdr:nvSpPr>
      <xdr:spPr>
        <a:xfrm>
          <a:off x="5457825" y="12839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77</xdr:row>
      <xdr:rowOff>152400</xdr:rowOff>
    </xdr:from>
    <xdr:to>
      <xdr:col>14</xdr:col>
      <xdr:colOff>66675</xdr:colOff>
      <xdr:row>77</xdr:row>
      <xdr:rowOff>152400</xdr:rowOff>
    </xdr:to>
    <xdr:sp>
      <xdr:nvSpPr>
        <xdr:cNvPr id="172" name="Line 222"/>
        <xdr:cNvSpPr>
          <a:spLocks/>
        </xdr:cNvSpPr>
      </xdr:nvSpPr>
      <xdr:spPr>
        <a:xfrm>
          <a:off x="5467350" y="13011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77</xdr:row>
      <xdr:rowOff>152400</xdr:rowOff>
    </xdr:from>
    <xdr:to>
      <xdr:col>14</xdr:col>
      <xdr:colOff>66675</xdr:colOff>
      <xdr:row>79</xdr:row>
      <xdr:rowOff>19050</xdr:rowOff>
    </xdr:to>
    <xdr:sp>
      <xdr:nvSpPr>
        <xdr:cNvPr id="173" name="Line 223"/>
        <xdr:cNvSpPr>
          <a:spLocks/>
        </xdr:cNvSpPr>
      </xdr:nvSpPr>
      <xdr:spPr>
        <a:xfrm flipH="1">
          <a:off x="6029325" y="130111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72</xdr:row>
      <xdr:rowOff>142875</xdr:rowOff>
    </xdr:from>
    <xdr:to>
      <xdr:col>20</xdr:col>
      <xdr:colOff>419100</xdr:colOff>
      <xdr:row>72</xdr:row>
      <xdr:rowOff>142875</xdr:rowOff>
    </xdr:to>
    <xdr:sp>
      <xdr:nvSpPr>
        <xdr:cNvPr id="174" name="Line 224"/>
        <xdr:cNvSpPr>
          <a:spLocks/>
        </xdr:cNvSpPr>
      </xdr:nvSpPr>
      <xdr:spPr>
        <a:xfrm>
          <a:off x="8134350" y="12192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142875</xdr:rowOff>
    </xdr:from>
    <xdr:to>
      <xdr:col>21</xdr:col>
      <xdr:colOff>47625</xdr:colOff>
      <xdr:row>73</xdr:row>
      <xdr:rowOff>142875</xdr:rowOff>
    </xdr:to>
    <xdr:sp>
      <xdr:nvSpPr>
        <xdr:cNvPr id="175" name="Line 225"/>
        <xdr:cNvSpPr>
          <a:spLocks/>
        </xdr:cNvSpPr>
      </xdr:nvSpPr>
      <xdr:spPr>
        <a:xfrm>
          <a:off x="8020050" y="12353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74</xdr:row>
      <xdr:rowOff>152400</xdr:rowOff>
    </xdr:from>
    <xdr:to>
      <xdr:col>20</xdr:col>
      <xdr:colOff>419100</xdr:colOff>
      <xdr:row>74</xdr:row>
      <xdr:rowOff>152400</xdr:rowOff>
    </xdr:to>
    <xdr:sp>
      <xdr:nvSpPr>
        <xdr:cNvPr id="176" name="Line 226"/>
        <xdr:cNvSpPr>
          <a:spLocks/>
        </xdr:cNvSpPr>
      </xdr:nvSpPr>
      <xdr:spPr>
        <a:xfrm>
          <a:off x="8134350" y="12525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71</xdr:row>
      <xdr:rowOff>95250</xdr:rowOff>
    </xdr:from>
    <xdr:to>
      <xdr:col>19</xdr:col>
      <xdr:colOff>114300</xdr:colOff>
      <xdr:row>72</xdr:row>
      <xdr:rowOff>133350</xdr:rowOff>
    </xdr:to>
    <xdr:sp>
      <xdr:nvSpPr>
        <xdr:cNvPr id="177" name="Line 227"/>
        <xdr:cNvSpPr>
          <a:spLocks/>
        </xdr:cNvSpPr>
      </xdr:nvSpPr>
      <xdr:spPr>
        <a:xfrm flipH="1" flipV="1">
          <a:off x="8124825" y="11982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74</xdr:row>
      <xdr:rowOff>142875</xdr:rowOff>
    </xdr:from>
    <xdr:to>
      <xdr:col>19</xdr:col>
      <xdr:colOff>123825</xdr:colOff>
      <xdr:row>76</xdr:row>
      <xdr:rowOff>9525</xdr:rowOff>
    </xdr:to>
    <xdr:sp>
      <xdr:nvSpPr>
        <xdr:cNvPr id="178" name="Line 228"/>
        <xdr:cNvSpPr>
          <a:spLocks/>
        </xdr:cNvSpPr>
      </xdr:nvSpPr>
      <xdr:spPr>
        <a:xfrm flipH="1">
          <a:off x="8134350" y="125158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79</xdr:row>
      <xdr:rowOff>57150</xdr:rowOff>
    </xdr:from>
    <xdr:to>
      <xdr:col>18</xdr:col>
      <xdr:colOff>0</xdr:colOff>
      <xdr:row>81</xdr:row>
      <xdr:rowOff>142875</xdr:rowOff>
    </xdr:to>
    <xdr:sp>
      <xdr:nvSpPr>
        <xdr:cNvPr id="179" name="Line 229"/>
        <xdr:cNvSpPr>
          <a:spLocks/>
        </xdr:cNvSpPr>
      </xdr:nvSpPr>
      <xdr:spPr>
        <a:xfrm flipV="1">
          <a:off x="7610475" y="13239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79</xdr:row>
      <xdr:rowOff>152400</xdr:rowOff>
    </xdr:from>
    <xdr:to>
      <xdr:col>17</xdr:col>
      <xdr:colOff>0</xdr:colOff>
      <xdr:row>81</xdr:row>
      <xdr:rowOff>123825</xdr:rowOff>
    </xdr:to>
    <xdr:sp>
      <xdr:nvSpPr>
        <xdr:cNvPr id="180" name="Line 230"/>
        <xdr:cNvSpPr>
          <a:spLocks/>
        </xdr:cNvSpPr>
      </xdr:nvSpPr>
      <xdr:spPr>
        <a:xfrm flipV="1">
          <a:off x="7200900" y="1333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79</xdr:row>
      <xdr:rowOff>152400</xdr:rowOff>
    </xdr:from>
    <xdr:to>
      <xdr:col>17</xdr:col>
      <xdr:colOff>0</xdr:colOff>
      <xdr:row>79</xdr:row>
      <xdr:rowOff>152400</xdr:rowOff>
    </xdr:to>
    <xdr:sp>
      <xdr:nvSpPr>
        <xdr:cNvPr id="181" name="Line 231"/>
        <xdr:cNvSpPr>
          <a:spLocks/>
        </xdr:cNvSpPr>
      </xdr:nvSpPr>
      <xdr:spPr>
        <a:xfrm flipH="1">
          <a:off x="6905625" y="133350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152400</xdr:rowOff>
    </xdr:from>
    <xdr:to>
      <xdr:col>19</xdr:col>
      <xdr:colOff>0</xdr:colOff>
      <xdr:row>81</xdr:row>
      <xdr:rowOff>123825</xdr:rowOff>
    </xdr:to>
    <xdr:sp>
      <xdr:nvSpPr>
        <xdr:cNvPr id="182" name="Line 232"/>
        <xdr:cNvSpPr>
          <a:spLocks/>
        </xdr:cNvSpPr>
      </xdr:nvSpPr>
      <xdr:spPr>
        <a:xfrm flipV="1">
          <a:off x="8020050" y="1333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152400</xdr:rowOff>
    </xdr:from>
    <xdr:to>
      <xdr:col>19</xdr:col>
      <xdr:colOff>190500</xdr:colOff>
      <xdr:row>79</xdr:row>
      <xdr:rowOff>152400</xdr:rowOff>
    </xdr:to>
    <xdr:sp>
      <xdr:nvSpPr>
        <xdr:cNvPr id="183" name="Line 233"/>
        <xdr:cNvSpPr>
          <a:spLocks/>
        </xdr:cNvSpPr>
      </xdr:nvSpPr>
      <xdr:spPr>
        <a:xfrm>
          <a:off x="8020050" y="13335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19050</xdr:rowOff>
    </xdr:from>
    <xdr:to>
      <xdr:col>16</xdr:col>
      <xdr:colOff>0</xdr:colOff>
      <xdr:row>71</xdr:row>
      <xdr:rowOff>104775</xdr:rowOff>
    </xdr:to>
    <xdr:sp>
      <xdr:nvSpPr>
        <xdr:cNvPr id="184" name="Line 234"/>
        <xdr:cNvSpPr>
          <a:spLocks/>
        </xdr:cNvSpPr>
      </xdr:nvSpPr>
      <xdr:spPr>
        <a:xfrm flipV="1">
          <a:off x="6791325" y="11582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28575</xdr:rowOff>
    </xdr:from>
    <xdr:to>
      <xdr:col>15</xdr:col>
      <xdr:colOff>0</xdr:colOff>
      <xdr:row>71</xdr:row>
      <xdr:rowOff>0</xdr:rowOff>
    </xdr:to>
    <xdr:sp>
      <xdr:nvSpPr>
        <xdr:cNvPr id="185" name="Line 235"/>
        <xdr:cNvSpPr>
          <a:spLocks/>
        </xdr:cNvSpPr>
      </xdr:nvSpPr>
      <xdr:spPr>
        <a:xfrm flipV="1">
          <a:off x="6381750" y="11591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71</xdr:row>
      <xdr:rowOff>0</xdr:rowOff>
    </xdr:from>
    <xdr:to>
      <xdr:col>14</xdr:col>
      <xdr:colOff>400050</xdr:colOff>
      <xdr:row>71</xdr:row>
      <xdr:rowOff>0</xdr:rowOff>
    </xdr:to>
    <xdr:sp>
      <xdr:nvSpPr>
        <xdr:cNvPr id="186" name="Line 236"/>
        <xdr:cNvSpPr>
          <a:spLocks/>
        </xdr:cNvSpPr>
      </xdr:nvSpPr>
      <xdr:spPr>
        <a:xfrm flipH="1">
          <a:off x="6076950" y="11887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69</xdr:row>
      <xdr:rowOff>28575</xdr:rowOff>
    </xdr:from>
    <xdr:to>
      <xdr:col>17</xdr:col>
      <xdr:colOff>0</xdr:colOff>
      <xdr:row>71</xdr:row>
      <xdr:rowOff>0</xdr:rowOff>
    </xdr:to>
    <xdr:sp>
      <xdr:nvSpPr>
        <xdr:cNvPr id="187" name="Line 237"/>
        <xdr:cNvSpPr>
          <a:spLocks/>
        </xdr:cNvSpPr>
      </xdr:nvSpPr>
      <xdr:spPr>
        <a:xfrm flipV="1">
          <a:off x="7200900" y="11591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0</xdr:rowOff>
    </xdr:to>
    <xdr:sp>
      <xdr:nvSpPr>
        <xdr:cNvPr id="188" name="Line 238"/>
        <xdr:cNvSpPr>
          <a:spLocks/>
        </xdr:cNvSpPr>
      </xdr:nvSpPr>
      <xdr:spPr>
        <a:xfrm>
          <a:off x="7200900" y="11887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55</xdr:row>
      <xdr:rowOff>142875</xdr:rowOff>
    </xdr:from>
    <xdr:to>
      <xdr:col>14</xdr:col>
      <xdr:colOff>66675</xdr:colOff>
      <xdr:row>55</xdr:row>
      <xdr:rowOff>142875</xdr:rowOff>
    </xdr:to>
    <xdr:sp>
      <xdr:nvSpPr>
        <xdr:cNvPr id="189" name="Line 251"/>
        <xdr:cNvSpPr>
          <a:spLocks/>
        </xdr:cNvSpPr>
      </xdr:nvSpPr>
      <xdr:spPr>
        <a:xfrm>
          <a:off x="5467350" y="9391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54</xdr:row>
      <xdr:rowOff>104775</xdr:rowOff>
    </xdr:from>
    <xdr:to>
      <xdr:col>14</xdr:col>
      <xdr:colOff>66675</xdr:colOff>
      <xdr:row>55</xdr:row>
      <xdr:rowOff>142875</xdr:rowOff>
    </xdr:to>
    <xdr:sp>
      <xdr:nvSpPr>
        <xdr:cNvPr id="190" name="Line 252"/>
        <xdr:cNvSpPr>
          <a:spLocks/>
        </xdr:cNvSpPr>
      </xdr:nvSpPr>
      <xdr:spPr>
        <a:xfrm flipH="1" flipV="1">
          <a:off x="6029325" y="91916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56</xdr:row>
      <xdr:rowOff>142875</xdr:rowOff>
    </xdr:from>
    <xdr:to>
      <xdr:col>14</xdr:col>
      <xdr:colOff>152400</xdr:colOff>
      <xdr:row>56</xdr:row>
      <xdr:rowOff>142875</xdr:rowOff>
    </xdr:to>
    <xdr:sp>
      <xdr:nvSpPr>
        <xdr:cNvPr id="191" name="Line 253"/>
        <xdr:cNvSpPr>
          <a:spLocks/>
        </xdr:cNvSpPr>
      </xdr:nvSpPr>
      <xdr:spPr>
        <a:xfrm>
          <a:off x="5457825" y="9553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57</xdr:row>
      <xdr:rowOff>152400</xdr:rowOff>
    </xdr:from>
    <xdr:to>
      <xdr:col>14</xdr:col>
      <xdr:colOff>66675</xdr:colOff>
      <xdr:row>57</xdr:row>
      <xdr:rowOff>152400</xdr:rowOff>
    </xdr:to>
    <xdr:sp>
      <xdr:nvSpPr>
        <xdr:cNvPr id="192" name="Line 254"/>
        <xdr:cNvSpPr>
          <a:spLocks/>
        </xdr:cNvSpPr>
      </xdr:nvSpPr>
      <xdr:spPr>
        <a:xfrm>
          <a:off x="5467350" y="9725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57</xdr:row>
      <xdr:rowOff>152400</xdr:rowOff>
    </xdr:from>
    <xdr:to>
      <xdr:col>14</xdr:col>
      <xdr:colOff>66675</xdr:colOff>
      <xdr:row>59</xdr:row>
      <xdr:rowOff>19050</xdr:rowOff>
    </xdr:to>
    <xdr:sp>
      <xdr:nvSpPr>
        <xdr:cNvPr id="193" name="Line 255"/>
        <xdr:cNvSpPr>
          <a:spLocks/>
        </xdr:cNvSpPr>
      </xdr:nvSpPr>
      <xdr:spPr>
        <a:xfrm flipH="1">
          <a:off x="6029325" y="97250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52</xdr:row>
      <xdr:rowOff>142875</xdr:rowOff>
    </xdr:from>
    <xdr:to>
      <xdr:col>20</xdr:col>
      <xdr:colOff>419100</xdr:colOff>
      <xdr:row>52</xdr:row>
      <xdr:rowOff>142875</xdr:rowOff>
    </xdr:to>
    <xdr:sp>
      <xdr:nvSpPr>
        <xdr:cNvPr id="194" name="Line 256"/>
        <xdr:cNvSpPr>
          <a:spLocks/>
        </xdr:cNvSpPr>
      </xdr:nvSpPr>
      <xdr:spPr>
        <a:xfrm>
          <a:off x="8134350" y="8905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142875</xdr:rowOff>
    </xdr:from>
    <xdr:to>
      <xdr:col>21</xdr:col>
      <xdr:colOff>47625</xdr:colOff>
      <xdr:row>53</xdr:row>
      <xdr:rowOff>142875</xdr:rowOff>
    </xdr:to>
    <xdr:sp>
      <xdr:nvSpPr>
        <xdr:cNvPr id="195" name="Line 257"/>
        <xdr:cNvSpPr>
          <a:spLocks/>
        </xdr:cNvSpPr>
      </xdr:nvSpPr>
      <xdr:spPr>
        <a:xfrm>
          <a:off x="8020050" y="90678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54</xdr:row>
      <xdr:rowOff>152400</xdr:rowOff>
    </xdr:from>
    <xdr:to>
      <xdr:col>20</xdr:col>
      <xdr:colOff>419100</xdr:colOff>
      <xdr:row>54</xdr:row>
      <xdr:rowOff>152400</xdr:rowOff>
    </xdr:to>
    <xdr:sp>
      <xdr:nvSpPr>
        <xdr:cNvPr id="196" name="Line 258"/>
        <xdr:cNvSpPr>
          <a:spLocks/>
        </xdr:cNvSpPr>
      </xdr:nvSpPr>
      <xdr:spPr>
        <a:xfrm>
          <a:off x="8134350" y="92392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51</xdr:row>
      <xdr:rowOff>95250</xdr:rowOff>
    </xdr:from>
    <xdr:to>
      <xdr:col>19</xdr:col>
      <xdr:colOff>114300</xdr:colOff>
      <xdr:row>52</xdr:row>
      <xdr:rowOff>133350</xdr:rowOff>
    </xdr:to>
    <xdr:sp>
      <xdr:nvSpPr>
        <xdr:cNvPr id="197" name="Line 259"/>
        <xdr:cNvSpPr>
          <a:spLocks/>
        </xdr:cNvSpPr>
      </xdr:nvSpPr>
      <xdr:spPr>
        <a:xfrm flipH="1" flipV="1">
          <a:off x="8124825" y="8696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54</xdr:row>
      <xdr:rowOff>142875</xdr:rowOff>
    </xdr:from>
    <xdr:to>
      <xdr:col>19</xdr:col>
      <xdr:colOff>123825</xdr:colOff>
      <xdr:row>56</xdr:row>
      <xdr:rowOff>9525</xdr:rowOff>
    </xdr:to>
    <xdr:sp>
      <xdr:nvSpPr>
        <xdr:cNvPr id="198" name="Line 260"/>
        <xdr:cNvSpPr>
          <a:spLocks/>
        </xdr:cNvSpPr>
      </xdr:nvSpPr>
      <xdr:spPr>
        <a:xfrm flipH="1">
          <a:off x="8134350" y="92297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59</xdr:row>
      <xdr:rowOff>57150</xdr:rowOff>
    </xdr:from>
    <xdr:to>
      <xdr:col>18</xdr:col>
      <xdr:colOff>0</xdr:colOff>
      <xdr:row>61</xdr:row>
      <xdr:rowOff>142875</xdr:rowOff>
    </xdr:to>
    <xdr:sp>
      <xdr:nvSpPr>
        <xdr:cNvPr id="199" name="Line 261"/>
        <xdr:cNvSpPr>
          <a:spLocks/>
        </xdr:cNvSpPr>
      </xdr:nvSpPr>
      <xdr:spPr>
        <a:xfrm flipV="1">
          <a:off x="7610475" y="99536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152400</xdr:rowOff>
    </xdr:from>
    <xdr:to>
      <xdr:col>17</xdr:col>
      <xdr:colOff>0</xdr:colOff>
      <xdr:row>61</xdr:row>
      <xdr:rowOff>123825</xdr:rowOff>
    </xdr:to>
    <xdr:sp>
      <xdr:nvSpPr>
        <xdr:cNvPr id="200" name="Line 262"/>
        <xdr:cNvSpPr>
          <a:spLocks/>
        </xdr:cNvSpPr>
      </xdr:nvSpPr>
      <xdr:spPr>
        <a:xfrm flipV="1">
          <a:off x="7200900" y="1004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59</xdr:row>
      <xdr:rowOff>152400</xdr:rowOff>
    </xdr:from>
    <xdr:to>
      <xdr:col>17</xdr:col>
      <xdr:colOff>0</xdr:colOff>
      <xdr:row>59</xdr:row>
      <xdr:rowOff>152400</xdr:rowOff>
    </xdr:to>
    <xdr:sp>
      <xdr:nvSpPr>
        <xdr:cNvPr id="201" name="Line 263"/>
        <xdr:cNvSpPr>
          <a:spLocks/>
        </xdr:cNvSpPr>
      </xdr:nvSpPr>
      <xdr:spPr>
        <a:xfrm flipH="1">
          <a:off x="6905625" y="10048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152400</xdr:rowOff>
    </xdr:from>
    <xdr:to>
      <xdr:col>19</xdr:col>
      <xdr:colOff>0</xdr:colOff>
      <xdr:row>61</xdr:row>
      <xdr:rowOff>123825</xdr:rowOff>
    </xdr:to>
    <xdr:sp>
      <xdr:nvSpPr>
        <xdr:cNvPr id="202" name="Line 264"/>
        <xdr:cNvSpPr>
          <a:spLocks/>
        </xdr:cNvSpPr>
      </xdr:nvSpPr>
      <xdr:spPr>
        <a:xfrm flipV="1">
          <a:off x="8020050" y="1004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152400</xdr:rowOff>
    </xdr:from>
    <xdr:to>
      <xdr:col>19</xdr:col>
      <xdr:colOff>190500</xdr:colOff>
      <xdr:row>59</xdr:row>
      <xdr:rowOff>152400</xdr:rowOff>
    </xdr:to>
    <xdr:sp>
      <xdr:nvSpPr>
        <xdr:cNvPr id="203" name="Line 265"/>
        <xdr:cNvSpPr>
          <a:spLocks/>
        </xdr:cNvSpPr>
      </xdr:nvSpPr>
      <xdr:spPr>
        <a:xfrm>
          <a:off x="8020050" y="10048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19050</xdr:rowOff>
    </xdr:from>
    <xdr:to>
      <xdr:col>16</xdr:col>
      <xdr:colOff>0</xdr:colOff>
      <xdr:row>51</xdr:row>
      <xdr:rowOff>104775</xdr:rowOff>
    </xdr:to>
    <xdr:sp>
      <xdr:nvSpPr>
        <xdr:cNvPr id="204" name="Line 266"/>
        <xdr:cNvSpPr>
          <a:spLocks/>
        </xdr:cNvSpPr>
      </xdr:nvSpPr>
      <xdr:spPr>
        <a:xfrm flipV="1">
          <a:off x="6791325" y="8296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49</xdr:row>
      <xdr:rowOff>28575</xdr:rowOff>
    </xdr:from>
    <xdr:to>
      <xdr:col>15</xdr:col>
      <xdr:colOff>0</xdr:colOff>
      <xdr:row>51</xdr:row>
      <xdr:rowOff>0</xdr:rowOff>
    </xdr:to>
    <xdr:sp>
      <xdr:nvSpPr>
        <xdr:cNvPr id="205" name="Line 267"/>
        <xdr:cNvSpPr>
          <a:spLocks/>
        </xdr:cNvSpPr>
      </xdr:nvSpPr>
      <xdr:spPr>
        <a:xfrm flipV="1">
          <a:off x="6381750" y="8305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51</xdr:row>
      <xdr:rowOff>0</xdr:rowOff>
    </xdr:from>
    <xdr:to>
      <xdr:col>14</xdr:col>
      <xdr:colOff>400050</xdr:colOff>
      <xdr:row>51</xdr:row>
      <xdr:rowOff>0</xdr:rowOff>
    </xdr:to>
    <xdr:sp>
      <xdr:nvSpPr>
        <xdr:cNvPr id="206" name="Line 268"/>
        <xdr:cNvSpPr>
          <a:spLocks/>
        </xdr:cNvSpPr>
      </xdr:nvSpPr>
      <xdr:spPr>
        <a:xfrm flipH="1">
          <a:off x="6076950" y="8601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28575</xdr:rowOff>
    </xdr:from>
    <xdr:to>
      <xdr:col>17</xdr:col>
      <xdr:colOff>0</xdr:colOff>
      <xdr:row>51</xdr:row>
      <xdr:rowOff>0</xdr:rowOff>
    </xdr:to>
    <xdr:sp>
      <xdr:nvSpPr>
        <xdr:cNvPr id="207" name="Line 269"/>
        <xdr:cNvSpPr>
          <a:spLocks/>
        </xdr:cNvSpPr>
      </xdr:nvSpPr>
      <xdr:spPr>
        <a:xfrm flipV="1">
          <a:off x="7200900" y="8305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0</xdr:rowOff>
    </xdr:to>
    <xdr:sp>
      <xdr:nvSpPr>
        <xdr:cNvPr id="208" name="Line 270"/>
        <xdr:cNvSpPr>
          <a:spLocks/>
        </xdr:cNvSpPr>
      </xdr:nvSpPr>
      <xdr:spPr>
        <a:xfrm>
          <a:off x="7200900" y="8601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75</xdr:row>
      <xdr:rowOff>142875</xdr:rowOff>
    </xdr:from>
    <xdr:to>
      <xdr:col>3</xdr:col>
      <xdr:colOff>66675</xdr:colOff>
      <xdr:row>75</xdr:row>
      <xdr:rowOff>142875</xdr:rowOff>
    </xdr:to>
    <xdr:sp>
      <xdr:nvSpPr>
        <xdr:cNvPr id="209" name="Line 271"/>
        <xdr:cNvSpPr>
          <a:spLocks/>
        </xdr:cNvSpPr>
      </xdr:nvSpPr>
      <xdr:spPr>
        <a:xfrm>
          <a:off x="752475" y="1267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74</xdr:row>
      <xdr:rowOff>104775</xdr:rowOff>
    </xdr:from>
    <xdr:to>
      <xdr:col>3</xdr:col>
      <xdr:colOff>66675</xdr:colOff>
      <xdr:row>75</xdr:row>
      <xdr:rowOff>142875</xdr:rowOff>
    </xdr:to>
    <xdr:sp>
      <xdr:nvSpPr>
        <xdr:cNvPr id="210" name="Line 272"/>
        <xdr:cNvSpPr>
          <a:spLocks/>
        </xdr:cNvSpPr>
      </xdr:nvSpPr>
      <xdr:spPr>
        <a:xfrm flipH="1" flipV="1">
          <a:off x="1314450" y="1247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76</xdr:row>
      <xdr:rowOff>142875</xdr:rowOff>
    </xdr:from>
    <xdr:to>
      <xdr:col>3</xdr:col>
      <xdr:colOff>152400</xdr:colOff>
      <xdr:row>76</xdr:row>
      <xdr:rowOff>142875</xdr:rowOff>
    </xdr:to>
    <xdr:sp>
      <xdr:nvSpPr>
        <xdr:cNvPr id="211" name="Line 273"/>
        <xdr:cNvSpPr>
          <a:spLocks/>
        </xdr:cNvSpPr>
      </xdr:nvSpPr>
      <xdr:spPr>
        <a:xfrm>
          <a:off x="742950" y="12839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77</xdr:row>
      <xdr:rowOff>152400</xdr:rowOff>
    </xdr:from>
    <xdr:to>
      <xdr:col>3</xdr:col>
      <xdr:colOff>66675</xdr:colOff>
      <xdr:row>77</xdr:row>
      <xdr:rowOff>152400</xdr:rowOff>
    </xdr:to>
    <xdr:sp>
      <xdr:nvSpPr>
        <xdr:cNvPr id="212" name="Line 274"/>
        <xdr:cNvSpPr>
          <a:spLocks/>
        </xdr:cNvSpPr>
      </xdr:nvSpPr>
      <xdr:spPr>
        <a:xfrm>
          <a:off x="752475" y="13011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77</xdr:row>
      <xdr:rowOff>152400</xdr:rowOff>
    </xdr:from>
    <xdr:to>
      <xdr:col>3</xdr:col>
      <xdr:colOff>66675</xdr:colOff>
      <xdr:row>79</xdr:row>
      <xdr:rowOff>19050</xdr:rowOff>
    </xdr:to>
    <xdr:sp>
      <xdr:nvSpPr>
        <xdr:cNvPr id="213" name="Line 275"/>
        <xdr:cNvSpPr>
          <a:spLocks/>
        </xdr:cNvSpPr>
      </xdr:nvSpPr>
      <xdr:spPr>
        <a:xfrm flipH="1">
          <a:off x="1314450" y="130111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72</xdr:row>
      <xdr:rowOff>142875</xdr:rowOff>
    </xdr:from>
    <xdr:to>
      <xdr:col>9</xdr:col>
      <xdr:colOff>419100</xdr:colOff>
      <xdr:row>72</xdr:row>
      <xdr:rowOff>142875</xdr:rowOff>
    </xdr:to>
    <xdr:sp>
      <xdr:nvSpPr>
        <xdr:cNvPr id="214" name="Line 276"/>
        <xdr:cNvSpPr>
          <a:spLocks/>
        </xdr:cNvSpPr>
      </xdr:nvSpPr>
      <xdr:spPr>
        <a:xfrm>
          <a:off x="3419475" y="12192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142875</xdr:rowOff>
    </xdr:from>
    <xdr:to>
      <xdr:col>10</xdr:col>
      <xdr:colOff>47625</xdr:colOff>
      <xdr:row>73</xdr:row>
      <xdr:rowOff>142875</xdr:rowOff>
    </xdr:to>
    <xdr:sp>
      <xdr:nvSpPr>
        <xdr:cNvPr id="215" name="Line 277"/>
        <xdr:cNvSpPr>
          <a:spLocks/>
        </xdr:cNvSpPr>
      </xdr:nvSpPr>
      <xdr:spPr>
        <a:xfrm>
          <a:off x="3305175" y="12353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74</xdr:row>
      <xdr:rowOff>152400</xdr:rowOff>
    </xdr:from>
    <xdr:to>
      <xdr:col>9</xdr:col>
      <xdr:colOff>419100</xdr:colOff>
      <xdr:row>74</xdr:row>
      <xdr:rowOff>152400</xdr:rowOff>
    </xdr:to>
    <xdr:sp>
      <xdr:nvSpPr>
        <xdr:cNvPr id="216" name="Line 278"/>
        <xdr:cNvSpPr>
          <a:spLocks/>
        </xdr:cNvSpPr>
      </xdr:nvSpPr>
      <xdr:spPr>
        <a:xfrm>
          <a:off x="3419475" y="125253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71</xdr:row>
      <xdr:rowOff>95250</xdr:rowOff>
    </xdr:from>
    <xdr:to>
      <xdr:col>8</xdr:col>
      <xdr:colOff>114300</xdr:colOff>
      <xdr:row>72</xdr:row>
      <xdr:rowOff>133350</xdr:rowOff>
    </xdr:to>
    <xdr:sp>
      <xdr:nvSpPr>
        <xdr:cNvPr id="217" name="Line 279"/>
        <xdr:cNvSpPr>
          <a:spLocks/>
        </xdr:cNvSpPr>
      </xdr:nvSpPr>
      <xdr:spPr>
        <a:xfrm flipH="1" flipV="1">
          <a:off x="3409950" y="11982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74</xdr:row>
      <xdr:rowOff>142875</xdr:rowOff>
    </xdr:from>
    <xdr:to>
      <xdr:col>8</xdr:col>
      <xdr:colOff>123825</xdr:colOff>
      <xdr:row>76</xdr:row>
      <xdr:rowOff>9525</xdr:rowOff>
    </xdr:to>
    <xdr:sp>
      <xdr:nvSpPr>
        <xdr:cNvPr id="218" name="Line 280"/>
        <xdr:cNvSpPr>
          <a:spLocks/>
        </xdr:cNvSpPr>
      </xdr:nvSpPr>
      <xdr:spPr>
        <a:xfrm flipH="1">
          <a:off x="3419475" y="125158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57150</xdr:rowOff>
    </xdr:from>
    <xdr:to>
      <xdr:col>7</xdr:col>
      <xdr:colOff>0</xdr:colOff>
      <xdr:row>81</xdr:row>
      <xdr:rowOff>142875</xdr:rowOff>
    </xdr:to>
    <xdr:sp>
      <xdr:nvSpPr>
        <xdr:cNvPr id="219" name="Line 281"/>
        <xdr:cNvSpPr>
          <a:spLocks/>
        </xdr:cNvSpPr>
      </xdr:nvSpPr>
      <xdr:spPr>
        <a:xfrm flipV="1">
          <a:off x="2895600" y="13239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79</xdr:row>
      <xdr:rowOff>152400</xdr:rowOff>
    </xdr:from>
    <xdr:to>
      <xdr:col>6</xdr:col>
      <xdr:colOff>0</xdr:colOff>
      <xdr:row>81</xdr:row>
      <xdr:rowOff>123825</xdr:rowOff>
    </xdr:to>
    <xdr:sp>
      <xdr:nvSpPr>
        <xdr:cNvPr id="220" name="Line 282"/>
        <xdr:cNvSpPr>
          <a:spLocks/>
        </xdr:cNvSpPr>
      </xdr:nvSpPr>
      <xdr:spPr>
        <a:xfrm flipV="1">
          <a:off x="2486025" y="1333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79</xdr:row>
      <xdr:rowOff>152400</xdr:rowOff>
    </xdr:from>
    <xdr:to>
      <xdr:col>6</xdr:col>
      <xdr:colOff>0</xdr:colOff>
      <xdr:row>79</xdr:row>
      <xdr:rowOff>152400</xdr:rowOff>
    </xdr:to>
    <xdr:sp>
      <xdr:nvSpPr>
        <xdr:cNvPr id="221" name="Line 283"/>
        <xdr:cNvSpPr>
          <a:spLocks/>
        </xdr:cNvSpPr>
      </xdr:nvSpPr>
      <xdr:spPr>
        <a:xfrm flipH="1">
          <a:off x="2190750" y="133350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152400</xdr:rowOff>
    </xdr:from>
    <xdr:to>
      <xdr:col>8</xdr:col>
      <xdr:colOff>0</xdr:colOff>
      <xdr:row>81</xdr:row>
      <xdr:rowOff>123825</xdr:rowOff>
    </xdr:to>
    <xdr:sp>
      <xdr:nvSpPr>
        <xdr:cNvPr id="222" name="Line 284"/>
        <xdr:cNvSpPr>
          <a:spLocks/>
        </xdr:cNvSpPr>
      </xdr:nvSpPr>
      <xdr:spPr>
        <a:xfrm flipV="1">
          <a:off x="3305175" y="1333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152400</xdr:rowOff>
    </xdr:from>
    <xdr:to>
      <xdr:col>8</xdr:col>
      <xdr:colOff>190500</xdr:colOff>
      <xdr:row>79</xdr:row>
      <xdr:rowOff>152400</xdr:rowOff>
    </xdr:to>
    <xdr:sp>
      <xdr:nvSpPr>
        <xdr:cNvPr id="223" name="Line 285"/>
        <xdr:cNvSpPr>
          <a:spLocks/>
        </xdr:cNvSpPr>
      </xdr:nvSpPr>
      <xdr:spPr>
        <a:xfrm>
          <a:off x="3305175" y="13335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19050</xdr:rowOff>
    </xdr:from>
    <xdr:to>
      <xdr:col>5</xdr:col>
      <xdr:colOff>0</xdr:colOff>
      <xdr:row>71</xdr:row>
      <xdr:rowOff>104775</xdr:rowOff>
    </xdr:to>
    <xdr:sp>
      <xdr:nvSpPr>
        <xdr:cNvPr id="224" name="Line 286"/>
        <xdr:cNvSpPr>
          <a:spLocks/>
        </xdr:cNvSpPr>
      </xdr:nvSpPr>
      <xdr:spPr>
        <a:xfrm flipV="1">
          <a:off x="2076450" y="11582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</xdr:rowOff>
    </xdr:from>
    <xdr:to>
      <xdr:col>4</xdr:col>
      <xdr:colOff>0</xdr:colOff>
      <xdr:row>71</xdr:row>
      <xdr:rowOff>0</xdr:rowOff>
    </xdr:to>
    <xdr:sp>
      <xdr:nvSpPr>
        <xdr:cNvPr id="225" name="Line 287"/>
        <xdr:cNvSpPr>
          <a:spLocks/>
        </xdr:cNvSpPr>
      </xdr:nvSpPr>
      <xdr:spPr>
        <a:xfrm flipV="1">
          <a:off x="1666875" y="11591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71</xdr:row>
      <xdr:rowOff>0</xdr:rowOff>
    </xdr:from>
    <xdr:to>
      <xdr:col>3</xdr:col>
      <xdr:colOff>400050</xdr:colOff>
      <xdr:row>71</xdr:row>
      <xdr:rowOff>0</xdr:rowOff>
    </xdr:to>
    <xdr:sp>
      <xdr:nvSpPr>
        <xdr:cNvPr id="226" name="Line 288"/>
        <xdr:cNvSpPr>
          <a:spLocks/>
        </xdr:cNvSpPr>
      </xdr:nvSpPr>
      <xdr:spPr>
        <a:xfrm flipH="1">
          <a:off x="1362075" y="11887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28575</xdr:rowOff>
    </xdr:from>
    <xdr:to>
      <xdr:col>6</xdr:col>
      <xdr:colOff>0</xdr:colOff>
      <xdr:row>71</xdr:row>
      <xdr:rowOff>0</xdr:rowOff>
    </xdr:to>
    <xdr:sp>
      <xdr:nvSpPr>
        <xdr:cNvPr id="227" name="Line 289"/>
        <xdr:cNvSpPr>
          <a:spLocks/>
        </xdr:cNvSpPr>
      </xdr:nvSpPr>
      <xdr:spPr>
        <a:xfrm flipV="1">
          <a:off x="2486025" y="11591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190500</xdr:colOff>
      <xdr:row>71</xdr:row>
      <xdr:rowOff>0</xdr:rowOff>
    </xdr:to>
    <xdr:sp>
      <xdr:nvSpPr>
        <xdr:cNvPr id="228" name="Line 290"/>
        <xdr:cNvSpPr>
          <a:spLocks/>
        </xdr:cNvSpPr>
      </xdr:nvSpPr>
      <xdr:spPr>
        <a:xfrm>
          <a:off x="2486025" y="11887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75</xdr:row>
      <xdr:rowOff>142875</xdr:rowOff>
    </xdr:from>
    <xdr:to>
      <xdr:col>14</xdr:col>
      <xdr:colOff>66675</xdr:colOff>
      <xdr:row>75</xdr:row>
      <xdr:rowOff>142875</xdr:rowOff>
    </xdr:to>
    <xdr:sp>
      <xdr:nvSpPr>
        <xdr:cNvPr id="229" name="Line 291"/>
        <xdr:cNvSpPr>
          <a:spLocks/>
        </xdr:cNvSpPr>
      </xdr:nvSpPr>
      <xdr:spPr>
        <a:xfrm>
          <a:off x="5467350" y="1267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74</xdr:row>
      <xdr:rowOff>104775</xdr:rowOff>
    </xdr:from>
    <xdr:to>
      <xdr:col>14</xdr:col>
      <xdr:colOff>66675</xdr:colOff>
      <xdr:row>75</xdr:row>
      <xdr:rowOff>142875</xdr:rowOff>
    </xdr:to>
    <xdr:sp>
      <xdr:nvSpPr>
        <xdr:cNvPr id="230" name="Line 292"/>
        <xdr:cNvSpPr>
          <a:spLocks/>
        </xdr:cNvSpPr>
      </xdr:nvSpPr>
      <xdr:spPr>
        <a:xfrm flipH="1" flipV="1">
          <a:off x="6029325" y="1247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76</xdr:row>
      <xdr:rowOff>142875</xdr:rowOff>
    </xdr:from>
    <xdr:to>
      <xdr:col>14</xdr:col>
      <xdr:colOff>152400</xdr:colOff>
      <xdr:row>76</xdr:row>
      <xdr:rowOff>142875</xdr:rowOff>
    </xdr:to>
    <xdr:sp>
      <xdr:nvSpPr>
        <xdr:cNvPr id="231" name="Line 293"/>
        <xdr:cNvSpPr>
          <a:spLocks/>
        </xdr:cNvSpPr>
      </xdr:nvSpPr>
      <xdr:spPr>
        <a:xfrm>
          <a:off x="5457825" y="12839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77</xdr:row>
      <xdr:rowOff>152400</xdr:rowOff>
    </xdr:from>
    <xdr:to>
      <xdr:col>14</xdr:col>
      <xdr:colOff>66675</xdr:colOff>
      <xdr:row>77</xdr:row>
      <xdr:rowOff>152400</xdr:rowOff>
    </xdr:to>
    <xdr:sp>
      <xdr:nvSpPr>
        <xdr:cNvPr id="232" name="Line 294"/>
        <xdr:cNvSpPr>
          <a:spLocks/>
        </xdr:cNvSpPr>
      </xdr:nvSpPr>
      <xdr:spPr>
        <a:xfrm>
          <a:off x="5467350" y="13011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77</xdr:row>
      <xdr:rowOff>152400</xdr:rowOff>
    </xdr:from>
    <xdr:to>
      <xdr:col>14</xdr:col>
      <xdr:colOff>66675</xdr:colOff>
      <xdr:row>79</xdr:row>
      <xdr:rowOff>19050</xdr:rowOff>
    </xdr:to>
    <xdr:sp>
      <xdr:nvSpPr>
        <xdr:cNvPr id="233" name="Line 295"/>
        <xdr:cNvSpPr>
          <a:spLocks/>
        </xdr:cNvSpPr>
      </xdr:nvSpPr>
      <xdr:spPr>
        <a:xfrm flipH="1">
          <a:off x="6029325" y="130111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72</xdr:row>
      <xdr:rowOff>142875</xdr:rowOff>
    </xdr:from>
    <xdr:to>
      <xdr:col>20</xdr:col>
      <xdr:colOff>419100</xdr:colOff>
      <xdr:row>72</xdr:row>
      <xdr:rowOff>142875</xdr:rowOff>
    </xdr:to>
    <xdr:sp>
      <xdr:nvSpPr>
        <xdr:cNvPr id="234" name="Line 296"/>
        <xdr:cNvSpPr>
          <a:spLocks/>
        </xdr:cNvSpPr>
      </xdr:nvSpPr>
      <xdr:spPr>
        <a:xfrm>
          <a:off x="8134350" y="12192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142875</xdr:rowOff>
    </xdr:from>
    <xdr:to>
      <xdr:col>21</xdr:col>
      <xdr:colOff>47625</xdr:colOff>
      <xdr:row>73</xdr:row>
      <xdr:rowOff>142875</xdr:rowOff>
    </xdr:to>
    <xdr:sp>
      <xdr:nvSpPr>
        <xdr:cNvPr id="235" name="Line 297"/>
        <xdr:cNvSpPr>
          <a:spLocks/>
        </xdr:cNvSpPr>
      </xdr:nvSpPr>
      <xdr:spPr>
        <a:xfrm>
          <a:off x="8020050" y="12353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74</xdr:row>
      <xdr:rowOff>152400</xdr:rowOff>
    </xdr:from>
    <xdr:to>
      <xdr:col>20</xdr:col>
      <xdr:colOff>419100</xdr:colOff>
      <xdr:row>74</xdr:row>
      <xdr:rowOff>152400</xdr:rowOff>
    </xdr:to>
    <xdr:sp>
      <xdr:nvSpPr>
        <xdr:cNvPr id="236" name="Line 298"/>
        <xdr:cNvSpPr>
          <a:spLocks/>
        </xdr:cNvSpPr>
      </xdr:nvSpPr>
      <xdr:spPr>
        <a:xfrm>
          <a:off x="8134350" y="12525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71</xdr:row>
      <xdr:rowOff>95250</xdr:rowOff>
    </xdr:from>
    <xdr:to>
      <xdr:col>19</xdr:col>
      <xdr:colOff>114300</xdr:colOff>
      <xdr:row>72</xdr:row>
      <xdr:rowOff>133350</xdr:rowOff>
    </xdr:to>
    <xdr:sp>
      <xdr:nvSpPr>
        <xdr:cNvPr id="237" name="Line 299"/>
        <xdr:cNvSpPr>
          <a:spLocks/>
        </xdr:cNvSpPr>
      </xdr:nvSpPr>
      <xdr:spPr>
        <a:xfrm flipH="1" flipV="1">
          <a:off x="8124825" y="11982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74</xdr:row>
      <xdr:rowOff>142875</xdr:rowOff>
    </xdr:from>
    <xdr:to>
      <xdr:col>19</xdr:col>
      <xdr:colOff>123825</xdr:colOff>
      <xdr:row>76</xdr:row>
      <xdr:rowOff>9525</xdr:rowOff>
    </xdr:to>
    <xdr:sp>
      <xdr:nvSpPr>
        <xdr:cNvPr id="238" name="Line 300"/>
        <xdr:cNvSpPr>
          <a:spLocks/>
        </xdr:cNvSpPr>
      </xdr:nvSpPr>
      <xdr:spPr>
        <a:xfrm flipH="1">
          <a:off x="8134350" y="125158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79</xdr:row>
      <xdr:rowOff>57150</xdr:rowOff>
    </xdr:from>
    <xdr:to>
      <xdr:col>18</xdr:col>
      <xdr:colOff>0</xdr:colOff>
      <xdr:row>81</xdr:row>
      <xdr:rowOff>142875</xdr:rowOff>
    </xdr:to>
    <xdr:sp>
      <xdr:nvSpPr>
        <xdr:cNvPr id="239" name="Line 301"/>
        <xdr:cNvSpPr>
          <a:spLocks/>
        </xdr:cNvSpPr>
      </xdr:nvSpPr>
      <xdr:spPr>
        <a:xfrm flipV="1">
          <a:off x="7610475" y="13239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79</xdr:row>
      <xdr:rowOff>152400</xdr:rowOff>
    </xdr:from>
    <xdr:to>
      <xdr:col>17</xdr:col>
      <xdr:colOff>0</xdr:colOff>
      <xdr:row>81</xdr:row>
      <xdr:rowOff>123825</xdr:rowOff>
    </xdr:to>
    <xdr:sp>
      <xdr:nvSpPr>
        <xdr:cNvPr id="240" name="Line 302"/>
        <xdr:cNvSpPr>
          <a:spLocks/>
        </xdr:cNvSpPr>
      </xdr:nvSpPr>
      <xdr:spPr>
        <a:xfrm flipV="1">
          <a:off x="7200900" y="1333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79</xdr:row>
      <xdr:rowOff>152400</xdr:rowOff>
    </xdr:from>
    <xdr:to>
      <xdr:col>17</xdr:col>
      <xdr:colOff>0</xdr:colOff>
      <xdr:row>79</xdr:row>
      <xdr:rowOff>152400</xdr:rowOff>
    </xdr:to>
    <xdr:sp>
      <xdr:nvSpPr>
        <xdr:cNvPr id="241" name="Line 303"/>
        <xdr:cNvSpPr>
          <a:spLocks/>
        </xdr:cNvSpPr>
      </xdr:nvSpPr>
      <xdr:spPr>
        <a:xfrm flipH="1">
          <a:off x="6905625" y="133350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152400</xdr:rowOff>
    </xdr:from>
    <xdr:to>
      <xdr:col>19</xdr:col>
      <xdr:colOff>0</xdr:colOff>
      <xdr:row>81</xdr:row>
      <xdr:rowOff>123825</xdr:rowOff>
    </xdr:to>
    <xdr:sp>
      <xdr:nvSpPr>
        <xdr:cNvPr id="242" name="Line 304"/>
        <xdr:cNvSpPr>
          <a:spLocks/>
        </xdr:cNvSpPr>
      </xdr:nvSpPr>
      <xdr:spPr>
        <a:xfrm flipV="1">
          <a:off x="8020050" y="1333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152400</xdr:rowOff>
    </xdr:from>
    <xdr:to>
      <xdr:col>19</xdr:col>
      <xdr:colOff>190500</xdr:colOff>
      <xdr:row>79</xdr:row>
      <xdr:rowOff>152400</xdr:rowOff>
    </xdr:to>
    <xdr:sp>
      <xdr:nvSpPr>
        <xdr:cNvPr id="243" name="Line 305"/>
        <xdr:cNvSpPr>
          <a:spLocks/>
        </xdr:cNvSpPr>
      </xdr:nvSpPr>
      <xdr:spPr>
        <a:xfrm>
          <a:off x="8020050" y="13335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19050</xdr:rowOff>
    </xdr:from>
    <xdr:to>
      <xdr:col>16</xdr:col>
      <xdr:colOff>0</xdr:colOff>
      <xdr:row>71</xdr:row>
      <xdr:rowOff>104775</xdr:rowOff>
    </xdr:to>
    <xdr:sp>
      <xdr:nvSpPr>
        <xdr:cNvPr id="244" name="Line 306"/>
        <xdr:cNvSpPr>
          <a:spLocks/>
        </xdr:cNvSpPr>
      </xdr:nvSpPr>
      <xdr:spPr>
        <a:xfrm flipV="1">
          <a:off x="6791325" y="11582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28575</xdr:rowOff>
    </xdr:from>
    <xdr:to>
      <xdr:col>15</xdr:col>
      <xdr:colOff>0</xdr:colOff>
      <xdr:row>71</xdr:row>
      <xdr:rowOff>0</xdr:rowOff>
    </xdr:to>
    <xdr:sp>
      <xdr:nvSpPr>
        <xdr:cNvPr id="245" name="Line 307"/>
        <xdr:cNvSpPr>
          <a:spLocks/>
        </xdr:cNvSpPr>
      </xdr:nvSpPr>
      <xdr:spPr>
        <a:xfrm flipV="1">
          <a:off x="6381750" y="11591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71</xdr:row>
      <xdr:rowOff>0</xdr:rowOff>
    </xdr:from>
    <xdr:to>
      <xdr:col>14</xdr:col>
      <xdr:colOff>400050</xdr:colOff>
      <xdr:row>71</xdr:row>
      <xdr:rowOff>0</xdr:rowOff>
    </xdr:to>
    <xdr:sp>
      <xdr:nvSpPr>
        <xdr:cNvPr id="246" name="Line 308"/>
        <xdr:cNvSpPr>
          <a:spLocks/>
        </xdr:cNvSpPr>
      </xdr:nvSpPr>
      <xdr:spPr>
        <a:xfrm flipH="1">
          <a:off x="6076950" y="11887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69</xdr:row>
      <xdr:rowOff>28575</xdr:rowOff>
    </xdr:from>
    <xdr:to>
      <xdr:col>17</xdr:col>
      <xdr:colOff>0</xdr:colOff>
      <xdr:row>71</xdr:row>
      <xdr:rowOff>0</xdr:rowOff>
    </xdr:to>
    <xdr:sp>
      <xdr:nvSpPr>
        <xdr:cNvPr id="247" name="Line 309"/>
        <xdr:cNvSpPr>
          <a:spLocks/>
        </xdr:cNvSpPr>
      </xdr:nvSpPr>
      <xdr:spPr>
        <a:xfrm flipV="1">
          <a:off x="7200900" y="11591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0</xdr:rowOff>
    </xdr:to>
    <xdr:sp>
      <xdr:nvSpPr>
        <xdr:cNvPr id="248" name="Line 310"/>
        <xdr:cNvSpPr>
          <a:spLocks/>
        </xdr:cNvSpPr>
      </xdr:nvSpPr>
      <xdr:spPr>
        <a:xfrm>
          <a:off x="7200900" y="11887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75</xdr:row>
      <xdr:rowOff>142875</xdr:rowOff>
    </xdr:from>
    <xdr:to>
      <xdr:col>14</xdr:col>
      <xdr:colOff>66675</xdr:colOff>
      <xdr:row>75</xdr:row>
      <xdr:rowOff>142875</xdr:rowOff>
    </xdr:to>
    <xdr:sp>
      <xdr:nvSpPr>
        <xdr:cNvPr id="249" name="Line 311"/>
        <xdr:cNvSpPr>
          <a:spLocks/>
        </xdr:cNvSpPr>
      </xdr:nvSpPr>
      <xdr:spPr>
        <a:xfrm>
          <a:off x="5467350" y="1267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74</xdr:row>
      <xdr:rowOff>104775</xdr:rowOff>
    </xdr:from>
    <xdr:to>
      <xdr:col>14</xdr:col>
      <xdr:colOff>66675</xdr:colOff>
      <xdr:row>75</xdr:row>
      <xdr:rowOff>142875</xdr:rowOff>
    </xdr:to>
    <xdr:sp>
      <xdr:nvSpPr>
        <xdr:cNvPr id="250" name="Line 312"/>
        <xdr:cNvSpPr>
          <a:spLocks/>
        </xdr:cNvSpPr>
      </xdr:nvSpPr>
      <xdr:spPr>
        <a:xfrm flipH="1" flipV="1">
          <a:off x="6029325" y="1247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76</xdr:row>
      <xdr:rowOff>142875</xdr:rowOff>
    </xdr:from>
    <xdr:to>
      <xdr:col>14</xdr:col>
      <xdr:colOff>152400</xdr:colOff>
      <xdr:row>76</xdr:row>
      <xdr:rowOff>142875</xdr:rowOff>
    </xdr:to>
    <xdr:sp>
      <xdr:nvSpPr>
        <xdr:cNvPr id="251" name="Line 313"/>
        <xdr:cNvSpPr>
          <a:spLocks/>
        </xdr:cNvSpPr>
      </xdr:nvSpPr>
      <xdr:spPr>
        <a:xfrm>
          <a:off x="5457825" y="12839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77</xdr:row>
      <xdr:rowOff>152400</xdr:rowOff>
    </xdr:from>
    <xdr:to>
      <xdr:col>14</xdr:col>
      <xdr:colOff>66675</xdr:colOff>
      <xdr:row>77</xdr:row>
      <xdr:rowOff>152400</xdr:rowOff>
    </xdr:to>
    <xdr:sp>
      <xdr:nvSpPr>
        <xdr:cNvPr id="252" name="Line 314"/>
        <xdr:cNvSpPr>
          <a:spLocks/>
        </xdr:cNvSpPr>
      </xdr:nvSpPr>
      <xdr:spPr>
        <a:xfrm>
          <a:off x="5467350" y="13011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77</xdr:row>
      <xdr:rowOff>152400</xdr:rowOff>
    </xdr:from>
    <xdr:to>
      <xdr:col>14</xdr:col>
      <xdr:colOff>66675</xdr:colOff>
      <xdr:row>79</xdr:row>
      <xdr:rowOff>19050</xdr:rowOff>
    </xdr:to>
    <xdr:sp>
      <xdr:nvSpPr>
        <xdr:cNvPr id="253" name="Line 315"/>
        <xdr:cNvSpPr>
          <a:spLocks/>
        </xdr:cNvSpPr>
      </xdr:nvSpPr>
      <xdr:spPr>
        <a:xfrm flipH="1">
          <a:off x="6029325" y="130111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72</xdr:row>
      <xdr:rowOff>142875</xdr:rowOff>
    </xdr:from>
    <xdr:to>
      <xdr:col>20</xdr:col>
      <xdr:colOff>419100</xdr:colOff>
      <xdr:row>72</xdr:row>
      <xdr:rowOff>142875</xdr:rowOff>
    </xdr:to>
    <xdr:sp>
      <xdr:nvSpPr>
        <xdr:cNvPr id="254" name="Line 316"/>
        <xdr:cNvSpPr>
          <a:spLocks/>
        </xdr:cNvSpPr>
      </xdr:nvSpPr>
      <xdr:spPr>
        <a:xfrm>
          <a:off x="8134350" y="12192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142875</xdr:rowOff>
    </xdr:from>
    <xdr:to>
      <xdr:col>21</xdr:col>
      <xdr:colOff>47625</xdr:colOff>
      <xdr:row>73</xdr:row>
      <xdr:rowOff>142875</xdr:rowOff>
    </xdr:to>
    <xdr:sp>
      <xdr:nvSpPr>
        <xdr:cNvPr id="255" name="Line 317"/>
        <xdr:cNvSpPr>
          <a:spLocks/>
        </xdr:cNvSpPr>
      </xdr:nvSpPr>
      <xdr:spPr>
        <a:xfrm>
          <a:off x="8020050" y="12353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74</xdr:row>
      <xdr:rowOff>152400</xdr:rowOff>
    </xdr:from>
    <xdr:to>
      <xdr:col>20</xdr:col>
      <xdr:colOff>419100</xdr:colOff>
      <xdr:row>74</xdr:row>
      <xdr:rowOff>152400</xdr:rowOff>
    </xdr:to>
    <xdr:sp>
      <xdr:nvSpPr>
        <xdr:cNvPr id="256" name="Line 318"/>
        <xdr:cNvSpPr>
          <a:spLocks/>
        </xdr:cNvSpPr>
      </xdr:nvSpPr>
      <xdr:spPr>
        <a:xfrm>
          <a:off x="8134350" y="12525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71</xdr:row>
      <xdr:rowOff>95250</xdr:rowOff>
    </xdr:from>
    <xdr:to>
      <xdr:col>19</xdr:col>
      <xdr:colOff>114300</xdr:colOff>
      <xdr:row>72</xdr:row>
      <xdr:rowOff>133350</xdr:rowOff>
    </xdr:to>
    <xdr:sp>
      <xdr:nvSpPr>
        <xdr:cNvPr id="257" name="Line 319"/>
        <xdr:cNvSpPr>
          <a:spLocks/>
        </xdr:cNvSpPr>
      </xdr:nvSpPr>
      <xdr:spPr>
        <a:xfrm flipH="1" flipV="1">
          <a:off x="8124825" y="11982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74</xdr:row>
      <xdr:rowOff>142875</xdr:rowOff>
    </xdr:from>
    <xdr:to>
      <xdr:col>19</xdr:col>
      <xdr:colOff>123825</xdr:colOff>
      <xdr:row>76</xdr:row>
      <xdr:rowOff>9525</xdr:rowOff>
    </xdr:to>
    <xdr:sp>
      <xdr:nvSpPr>
        <xdr:cNvPr id="258" name="Line 320"/>
        <xdr:cNvSpPr>
          <a:spLocks/>
        </xdr:cNvSpPr>
      </xdr:nvSpPr>
      <xdr:spPr>
        <a:xfrm flipH="1">
          <a:off x="8134350" y="125158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79</xdr:row>
      <xdr:rowOff>57150</xdr:rowOff>
    </xdr:from>
    <xdr:to>
      <xdr:col>18</xdr:col>
      <xdr:colOff>0</xdr:colOff>
      <xdr:row>81</xdr:row>
      <xdr:rowOff>142875</xdr:rowOff>
    </xdr:to>
    <xdr:sp>
      <xdr:nvSpPr>
        <xdr:cNvPr id="259" name="Line 321"/>
        <xdr:cNvSpPr>
          <a:spLocks/>
        </xdr:cNvSpPr>
      </xdr:nvSpPr>
      <xdr:spPr>
        <a:xfrm flipV="1">
          <a:off x="7610475" y="13239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79</xdr:row>
      <xdr:rowOff>152400</xdr:rowOff>
    </xdr:from>
    <xdr:to>
      <xdr:col>17</xdr:col>
      <xdr:colOff>0</xdr:colOff>
      <xdr:row>81</xdr:row>
      <xdr:rowOff>123825</xdr:rowOff>
    </xdr:to>
    <xdr:sp>
      <xdr:nvSpPr>
        <xdr:cNvPr id="260" name="Line 322"/>
        <xdr:cNvSpPr>
          <a:spLocks/>
        </xdr:cNvSpPr>
      </xdr:nvSpPr>
      <xdr:spPr>
        <a:xfrm flipV="1">
          <a:off x="7200900" y="1333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79</xdr:row>
      <xdr:rowOff>152400</xdr:rowOff>
    </xdr:from>
    <xdr:to>
      <xdr:col>17</xdr:col>
      <xdr:colOff>0</xdr:colOff>
      <xdr:row>79</xdr:row>
      <xdr:rowOff>152400</xdr:rowOff>
    </xdr:to>
    <xdr:sp>
      <xdr:nvSpPr>
        <xdr:cNvPr id="261" name="Line 323"/>
        <xdr:cNvSpPr>
          <a:spLocks/>
        </xdr:cNvSpPr>
      </xdr:nvSpPr>
      <xdr:spPr>
        <a:xfrm flipH="1">
          <a:off x="6905625" y="133350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152400</xdr:rowOff>
    </xdr:from>
    <xdr:to>
      <xdr:col>19</xdr:col>
      <xdr:colOff>0</xdr:colOff>
      <xdr:row>81</xdr:row>
      <xdr:rowOff>123825</xdr:rowOff>
    </xdr:to>
    <xdr:sp>
      <xdr:nvSpPr>
        <xdr:cNvPr id="262" name="Line 324"/>
        <xdr:cNvSpPr>
          <a:spLocks/>
        </xdr:cNvSpPr>
      </xdr:nvSpPr>
      <xdr:spPr>
        <a:xfrm flipV="1">
          <a:off x="8020050" y="1333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152400</xdr:rowOff>
    </xdr:from>
    <xdr:to>
      <xdr:col>19</xdr:col>
      <xdr:colOff>190500</xdr:colOff>
      <xdr:row>79</xdr:row>
      <xdr:rowOff>152400</xdr:rowOff>
    </xdr:to>
    <xdr:sp>
      <xdr:nvSpPr>
        <xdr:cNvPr id="263" name="Line 325"/>
        <xdr:cNvSpPr>
          <a:spLocks/>
        </xdr:cNvSpPr>
      </xdr:nvSpPr>
      <xdr:spPr>
        <a:xfrm>
          <a:off x="8020050" y="13335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19050</xdr:rowOff>
    </xdr:from>
    <xdr:to>
      <xdr:col>16</xdr:col>
      <xdr:colOff>0</xdr:colOff>
      <xdr:row>71</xdr:row>
      <xdr:rowOff>104775</xdr:rowOff>
    </xdr:to>
    <xdr:sp>
      <xdr:nvSpPr>
        <xdr:cNvPr id="264" name="Line 326"/>
        <xdr:cNvSpPr>
          <a:spLocks/>
        </xdr:cNvSpPr>
      </xdr:nvSpPr>
      <xdr:spPr>
        <a:xfrm flipV="1">
          <a:off x="6791325" y="11582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28575</xdr:rowOff>
    </xdr:from>
    <xdr:to>
      <xdr:col>15</xdr:col>
      <xdr:colOff>0</xdr:colOff>
      <xdr:row>71</xdr:row>
      <xdr:rowOff>0</xdr:rowOff>
    </xdr:to>
    <xdr:sp>
      <xdr:nvSpPr>
        <xdr:cNvPr id="265" name="Line 327"/>
        <xdr:cNvSpPr>
          <a:spLocks/>
        </xdr:cNvSpPr>
      </xdr:nvSpPr>
      <xdr:spPr>
        <a:xfrm flipV="1">
          <a:off x="6381750" y="11591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71</xdr:row>
      <xdr:rowOff>0</xdr:rowOff>
    </xdr:from>
    <xdr:to>
      <xdr:col>14</xdr:col>
      <xdr:colOff>400050</xdr:colOff>
      <xdr:row>71</xdr:row>
      <xdr:rowOff>0</xdr:rowOff>
    </xdr:to>
    <xdr:sp>
      <xdr:nvSpPr>
        <xdr:cNvPr id="266" name="Line 328"/>
        <xdr:cNvSpPr>
          <a:spLocks/>
        </xdr:cNvSpPr>
      </xdr:nvSpPr>
      <xdr:spPr>
        <a:xfrm flipH="1">
          <a:off x="6076950" y="11887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69</xdr:row>
      <xdr:rowOff>28575</xdr:rowOff>
    </xdr:from>
    <xdr:to>
      <xdr:col>17</xdr:col>
      <xdr:colOff>0</xdr:colOff>
      <xdr:row>71</xdr:row>
      <xdr:rowOff>0</xdr:rowOff>
    </xdr:to>
    <xdr:sp>
      <xdr:nvSpPr>
        <xdr:cNvPr id="267" name="Line 329"/>
        <xdr:cNvSpPr>
          <a:spLocks/>
        </xdr:cNvSpPr>
      </xdr:nvSpPr>
      <xdr:spPr>
        <a:xfrm flipV="1">
          <a:off x="7200900" y="11591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0</xdr:rowOff>
    </xdr:to>
    <xdr:sp>
      <xdr:nvSpPr>
        <xdr:cNvPr id="268" name="Line 330"/>
        <xdr:cNvSpPr>
          <a:spLocks/>
        </xdr:cNvSpPr>
      </xdr:nvSpPr>
      <xdr:spPr>
        <a:xfrm>
          <a:off x="7200900" y="11887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96</xdr:row>
      <xdr:rowOff>76200</xdr:rowOff>
    </xdr:from>
    <xdr:to>
      <xdr:col>12</xdr:col>
      <xdr:colOff>152400</xdr:colOff>
      <xdr:row>102</xdr:row>
      <xdr:rowOff>95250</xdr:rowOff>
    </xdr:to>
    <xdr:sp>
      <xdr:nvSpPr>
        <xdr:cNvPr id="269" name="AutoShape 445"/>
        <xdr:cNvSpPr>
          <a:spLocks/>
        </xdr:cNvSpPr>
      </xdr:nvSpPr>
      <xdr:spPr>
        <a:xfrm>
          <a:off x="4772025" y="16163925"/>
          <a:ext cx="628650" cy="990600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90</xdr:row>
      <xdr:rowOff>114300</xdr:rowOff>
    </xdr:from>
    <xdr:to>
      <xdr:col>17</xdr:col>
      <xdr:colOff>352425</xdr:colOff>
      <xdr:row>94</xdr:row>
      <xdr:rowOff>28575</xdr:rowOff>
    </xdr:to>
    <xdr:sp>
      <xdr:nvSpPr>
        <xdr:cNvPr id="270" name="AutoShape 447"/>
        <xdr:cNvSpPr>
          <a:spLocks/>
        </xdr:cNvSpPr>
      </xdr:nvSpPr>
      <xdr:spPr>
        <a:xfrm>
          <a:off x="6477000" y="15230475"/>
          <a:ext cx="1076325" cy="56197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96</xdr:row>
      <xdr:rowOff>114300</xdr:rowOff>
    </xdr:from>
    <xdr:to>
      <xdr:col>15</xdr:col>
      <xdr:colOff>171450</xdr:colOff>
      <xdr:row>102</xdr:row>
      <xdr:rowOff>47625</xdr:rowOff>
    </xdr:to>
    <xdr:sp>
      <xdr:nvSpPr>
        <xdr:cNvPr id="271" name="AutoShape 449"/>
        <xdr:cNvSpPr>
          <a:spLocks/>
        </xdr:cNvSpPr>
      </xdr:nvSpPr>
      <xdr:spPr>
        <a:xfrm>
          <a:off x="5829300" y="16202025"/>
          <a:ext cx="723900" cy="90487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97</xdr:row>
      <xdr:rowOff>104775</xdr:rowOff>
    </xdr:from>
    <xdr:to>
      <xdr:col>17</xdr:col>
      <xdr:colOff>304800</xdr:colOff>
      <xdr:row>101</xdr:row>
      <xdr:rowOff>76200</xdr:rowOff>
    </xdr:to>
    <xdr:sp>
      <xdr:nvSpPr>
        <xdr:cNvPr id="272" name="AutoShape 450"/>
        <xdr:cNvSpPr>
          <a:spLocks/>
        </xdr:cNvSpPr>
      </xdr:nvSpPr>
      <xdr:spPr>
        <a:xfrm>
          <a:off x="6505575" y="16354425"/>
          <a:ext cx="1000125" cy="6191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110</xdr:row>
      <xdr:rowOff>0</xdr:rowOff>
    </xdr:to>
    <xdr:sp>
      <xdr:nvSpPr>
        <xdr:cNvPr id="273" name="Line 462"/>
        <xdr:cNvSpPr>
          <a:spLocks/>
        </xdr:cNvSpPr>
      </xdr:nvSpPr>
      <xdr:spPr>
        <a:xfrm flipV="1">
          <a:off x="2486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110</xdr:row>
      <xdr:rowOff>0</xdr:rowOff>
    </xdr:from>
    <xdr:to>
      <xdr:col>8</xdr:col>
      <xdr:colOff>0</xdr:colOff>
      <xdr:row>110</xdr:row>
      <xdr:rowOff>0</xdr:rowOff>
    </xdr:to>
    <xdr:sp>
      <xdr:nvSpPr>
        <xdr:cNvPr id="274" name="Line 464"/>
        <xdr:cNvSpPr>
          <a:spLocks/>
        </xdr:cNvSpPr>
      </xdr:nvSpPr>
      <xdr:spPr>
        <a:xfrm flipV="1">
          <a:off x="330517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75" name="Line 467"/>
        <xdr:cNvSpPr>
          <a:spLocks/>
        </xdr:cNvSpPr>
      </xdr:nvSpPr>
      <xdr:spPr>
        <a:xfrm flipV="1">
          <a:off x="166687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104</xdr:row>
      <xdr:rowOff>142875</xdr:rowOff>
    </xdr:from>
    <xdr:to>
      <xdr:col>17</xdr:col>
      <xdr:colOff>342900</xdr:colOff>
      <xdr:row>108</xdr:row>
      <xdr:rowOff>57150</xdr:rowOff>
    </xdr:to>
    <xdr:sp>
      <xdr:nvSpPr>
        <xdr:cNvPr id="276" name="AutoShape 516"/>
        <xdr:cNvSpPr>
          <a:spLocks/>
        </xdr:cNvSpPr>
      </xdr:nvSpPr>
      <xdr:spPr>
        <a:xfrm>
          <a:off x="6467475" y="17526000"/>
          <a:ext cx="1076325" cy="56197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96</xdr:row>
      <xdr:rowOff>66675</xdr:rowOff>
    </xdr:from>
    <xdr:to>
      <xdr:col>21</xdr:col>
      <xdr:colOff>495300</xdr:colOff>
      <xdr:row>102</xdr:row>
      <xdr:rowOff>85725</xdr:rowOff>
    </xdr:to>
    <xdr:sp>
      <xdr:nvSpPr>
        <xdr:cNvPr id="277" name="AutoShape 518"/>
        <xdr:cNvSpPr>
          <a:spLocks/>
        </xdr:cNvSpPr>
      </xdr:nvSpPr>
      <xdr:spPr>
        <a:xfrm>
          <a:off x="8801100" y="16154400"/>
          <a:ext cx="628650" cy="990600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116</xdr:row>
      <xdr:rowOff>142875</xdr:rowOff>
    </xdr:from>
    <xdr:to>
      <xdr:col>10</xdr:col>
      <xdr:colOff>438150</xdr:colOff>
      <xdr:row>118</xdr:row>
      <xdr:rowOff>0</xdr:rowOff>
    </xdr:to>
    <xdr:sp>
      <xdr:nvSpPr>
        <xdr:cNvPr id="278" name="Rectangle 536"/>
        <xdr:cNvSpPr>
          <a:spLocks/>
        </xdr:cNvSpPr>
      </xdr:nvSpPr>
      <xdr:spPr>
        <a:xfrm>
          <a:off x="209550" y="19516725"/>
          <a:ext cx="4419600" cy="180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110</xdr:row>
      <xdr:rowOff>19050</xdr:rowOff>
    </xdr:from>
    <xdr:to>
      <xdr:col>4</xdr:col>
      <xdr:colOff>361950</xdr:colOff>
      <xdr:row>128</xdr:row>
      <xdr:rowOff>114300</xdr:rowOff>
    </xdr:to>
    <xdr:sp>
      <xdr:nvSpPr>
        <xdr:cNvPr id="279" name="Rectangle 537"/>
        <xdr:cNvSpPr>
          <a:spLocks/>
        </xdr:cNvSpPr>
      </xdr:nvSpPr>
      <xdr:spPr>
        <a:xfrm>
          <a:off x="1847850" y="18421350"/>
          <a:ext cx="180975" cy="30099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110</xdr:row>
      <xdr:rowOff>28575</xdr:rowOff>
    </xdr:from>
    <xdr:to>
      <xdr:col>6</xdr:col>
      <xdr:colOff>257175</xdr:colOff>
      <xdr:row>128</xdr:row>
      <xdr:rowOff>123825</xdr:rowOff>
    </xdr:to>
    <xdr:sp>
      <xdr:nvSpPr>
        <xdr:cNvPr id="280" name="Rectangle 538"/>
        <xdr:cNvSpPr>
          <a:spLocks/>
        </xdr:cNvSpPr>
      </xdr:nvSpPr>
      <xdr:spPr>
        <a:xfrm>
          <a:off x="2562225" y="18430875"/>
          <a:ext cx="180975" cy="30099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121</xdr:row>
      <xdr:rowOff>9525</xdr:rowOff>
    </xdr:from>
    <xdr:to>
      <xdr:col>10</xdr:col>
      <xdr:colOff>409575</xdr:colOff>
      <xdr:row>122</xdr:row>
      <xdr:rowOff>28575</xdr:rowOff>
    </xdr:to>
    <xdr:sp>
      <xdr:nvSpPr>
        <xdr:cNvPr id="281" name="Rectangle 539"/>
        <xdr:cNvSpPr>
          <a:spLocks/>
        </xdr:cNvSpPr>
      </xdr:nvSpPr>
      <xdr:spPr>
        <a:xfrm>
          <a:off x="180975" y="20193000"/>
          <a:ext cx="4419600" cy="180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116</xdr:row>
      <xdr:rowOff>76200</xdr:rowOff>
    </xdr:from>
    <xdr:to>
      <xdr:col>1</xdr:col>
      <xdr:colOff>152400</xdr:colOff>
      <xdr:row>122</xdr:row>
      <xdr:rowOff>95250</xdr:rowOff>
    </xdr:to>
    <xdr:sp>
      <xdr:nvSpPr>
        <xdr:cNvPr id="282" name="AutoShape 541"/>
        <xdr:cNvSpPr>
          <a:spLocks/>
        </xdr:cNvSpPr>
      </xdr:nvSpPr>
      <xdr:spPr>
        <a:xfrm>
          <a:off x="57150" y="19450050"/>
          <a:ext cx="628650" cy="990600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110</xdr:row>
      <xdr:rowOff>114300</xdr:rowOff>
    </xdr:from>
    <xdr:to>
      <xdr:col>6</xdr:col>
      <xdr:colOff>352425</xdr:colOff>
      <xdr:row>114</xdr:row>
      <xdr:rowOff>28575</xdr:rowOff>
    </xdr:to>
    <xdr:sp>
      <xdr:nvSpPr>
        <xdr:cNvPr id="283" name="AutoShape 542"/>
        <xdr:cNvSpPr>
          <a:spLocks/>
        </xdr:cNvSpPr>
      </xdr:nvSpPr>
      <xdr:spPr>
        <a:xfrm>
          <a:off x="1762125" y="18516600"/>
          <a:ext cx="1076325" cy="56197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116</xdr:row>
      <xdr:rowOff>114300</xdr:rowOff>
    </xdr:from>
    <xdr:to>
      <xdr:col>4</xdr:col>
      <xdr:colOff>171450</xdr:colOff>
      <xdr:row>122</xdr:row>
      <xdr:rowOff>47625</xdr:rowOff>
    </xdr:to>
    <xdr:sp>
      <xdr:nvSpPr>
        <xdr:cNvPr id="284" name="AutoShape 543"/>
        <xdr:cNvSpPr>
          <a:spLocks/>
        </xdr:cNvSpPr>
      </xdr:nvSpPr>
      <xdr:spPr>
        <a:xfrm>
          <a:off x="1114425" y="19488150"/>
          <a:ext cx="723900" cy="90487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117</xdr:row>
      <xdr:rowOff>104775</xdr:rowOff>
    </xdr:from>
    <xdr:to>
      <xdr:col>6</xdr:col>
      <xdr:colOff>304800</xdr:colOff>
      <xdr:row>121</xdr:row>
      <xdr:rowOff>76200</xdr:rowOff>
    </xdr:to>
    <xdr:sp>
      <xdr:nvSpPr>
        <xdr:cNvPr id="285" name="AutoShape 544"/>
        <xdr:cNvSpPr>
          <a:spLocks/>
        </xdr:cNvSpPr>
      </xdr:nvSpPr>
      <xdr:spPr>
        <a:xfrm>
          <a:off x="1790700" y="19640550"/>
          <a:ext cx="1000125" cy="6191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124</xdr:row>
      <xdr:rowOff>142875</xdr:rowOff>
    </xdr:from>
    <xdr:to>
      <xdr:col>6</xdr:col>
      <xdr:colOff>342900</xdr:colOff>
      <xdr:row>128</xdr:row>
      <xdr:rowOff>57150</xdr:rowOff>
    </xdr:to>
    <xdr:sp>
      <xdr:nvSpPr>
        <xdr:cNvPr id="286" name="AutoShape 545"/>
        <xdr:cNvSpPr>
          <a:spLocks/>
        </xdr:cNvSpPr>
      </xdr:nvSpPr>
      <xdr:spPr>
        <a:xfrm>
          <a:off x="1752600" y="20812125"/>
          <a:ext cx="1076325" cy="56197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116</xdr:row>
      <xdr:rowOff>66675</xdr:rowOff>
    </xdr:from>
    <xdr:to>
      <xdr:col>10</xdr:col>
      <xdr:colOff>495300</xdr:colOff>
      <xdr:row>122</xdr:row>
      <xdr:rowOff>85725</xdr:rowOff>
    </xdr:to>
    <xdr:sp>
      <xdr:nvSpPr>
        <xdr:cNvPr id="287" name="AutoShape 546"/>
        <xdr:cNvSpPr>
          <a:spLocks/>
        </xdr:cNvSpPr>
      </xdr:nvSpPr>
      <xdr:spPr>
        <a:xfrm>
          <a:off x="4076700" y="19440525"/>
          <a:ext cx="609600" cy="990600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116</xdr:row>
      <xdr:rowOff>142875</xdr:rowOff>
    </xdr:from>
    <xdr:to>
      <xdr:col>21</xdr:col>
      <xdr:colOff>438150</xdr:colOff>
      <xdr:row>118</xdr:row>
      <xdr:rowOff>0</xdr:rowOff>
    </xdr:to>
    <xdr:sp>
      <xdr:nvSpPr>
        <xdr:cNvPr id="288" name="Rectangle 550"/>
        <xdr:cNvSpPr>
          <a:spLocks/>
        </xdr:cNvSpPr>
      </xdr:nvSpPr>
      <xdr:spPr>
        <a:xfrm>
          <a:off x="4924425" y="19516725"/>
          <a:ext cx="4448175" cy="180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110</xdr:row>
      <xdr:rowOff>19050</xdr:rowOff>
    </xdr:from>
    <xdr:to>
      <xdr:col>15</xdr:col>
      <xdr:colOff>361950</xdr:colOff>
      <xdr:row>128</xdr:row>
      <xdr:rowOff>114300</xdr:rowOff>
    </xdr:to>
    <xdr:sp>
      <xdr:nvSpPr>
        <xdr:cNvPr id="289" name="Rectangle 551"/>
        <xdr:cNvSpPr>
          <a:spLocks/>
        </xdr:cNvSpPr>
      </xdr:nvSpPr>
      <xdr:spPr>
        <a:xfrm>
          <a:off x="6562725" y="18421350"/>
          <a:ext cx="180975" cy="30099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110</xdr:row>
      <xdr:rowOff>28575</xdr:rowOff>
    </xdr:from>
    <xdr:to>
      <xdr:col>17</xdr:col>
      <xdr:colOff>257175</xdr:colOff>
      <xdr:row>128</xdr:row>
      <xdr:rowOff>123825</xdr:rowOff>
    </xdr:to>
    <xdr:sp>
      <xdr:nvSpPr>
        <xdr:cNvPr id="290" name="Rectangle 552"/>
        <xdr:cNvSpPr>
          <a:spLocks/>
        </xdr:cNvSpPr>
      </xdr:nvSpPr>
      <xdr:spPr>
        <a:xfrm>
          <a:off x="7277100" y="18430875"/>
          <a:ext cx="180975" cy="30099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121</xdr:row>
      <xdr:rowOff>9525</xdr:rowOff>
    </xdr:from>
    <xdr:to>
      <xdr:col>21</xdr:col>
      <xdr:colOff>409575</xdr:colOff>
      <xdr:row>122</xdr:row>
      <xdr:rowOff>28575</xdr:rowOff>
    </xdr:to>
    <xdr:sp>
      <xdr:nvSpPr>
        <xdr:cNvPr id="291" name="Rectangle 553"/>
        <xdr:cNvSpPr>
          <a:spLocks/>
        </xdr:cNvSpPr>
      </xdr:nvSpPr>
      <xdr:spPr>
        <a:xfrm>
          <a:off x="4895850" y="20193000"/>
          <a:ext cx="4448175" cy="180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116</xdr:row>
      <xdr:rowOff>76200</xdr:rowOff>
    </xdr:from>
    <xdr:to>
      <xdr:col>12</xdr:col>
      <xdr:colOff>152400</xdr:colOff>
      <xdr:row>122</xdr:row>
      <xdr:rowOff>95250</xdr:rowOff>
    </xdr:to>
    <xdr:sp>
      <xdr:nvSpPr>
        <xdr:cNvPr id="292" name="AutoShape 555"/>
        <xdr:cNvSpPr>
          <a:spLocks/>
        </xdr:cNvSpPr>
      </xdr:nvSpPr>
      <xdr:spPr>
        <a:xfrm>
          <a:off x="4772025" y="19450050"/>
          <a:ext cx="628650" cy="990600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110</xdr:row>
      <xdr:rowOff>114300</xdr:rowOff>
    </xdr:from>
    <xdr:to>
      <xdr:col>17</xdr:col>
      <xdr:colOff>352425</xdr:colOff>
      <xdr:row>114</xdr:row>
      <xdr:rowOff>28575</xdr:rowOff>
    </xdr:to>
    <xdr:sp>
      <xdr:nvSpPr>
        <xdr:cNvPr id="293" name="AutoShape 556"/>
        <xdr:cNvSpPr>
          <a:spLocks/>
        </xdr:cNvSpPr>
      </xdr:nvSpPr>
      <xdr:spPr>
        <a:xfrm>
          <a:off x="6477000" y="18516600"/>
          <a:ext cx="1076325" cy="56197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116</xdr:row>
      <xdr:rowOff>114300</xdr:rowOff>
    </xdr:from>
    <xdr:to>
      <xdr:col>15</xdr:col>
      <xdr:colOff>171450</xdr:colOff>
      <xdr:row>122</xdr:row>
      <xdr:rowOff>47625</xdr:rowOff>
    </xdr:to>
    <xdr:sp>
      <xdr:nvSpPr>
        <xdr:cNvPr id="294" name="AutoShape 557"/>
        <xdr:cNvSpPr>
          <a:spLocks/>
        </xdr:cNvSpPr>
      </xdr:nvSpPr>
      <xdr:spPr>
        <a:xfrm>
          <a:off x="5829300" y="19488150"/>
          <a:ext cx="723900" cy="90487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117</xdr:row>
      <xdr:rowOff>104775</xdr:rowOff>
    </xdr:from>
    <xdr:to>
      <xdr:col>17</xdr:col>
      <xdr:colOff>304800</xdr:colOff>
      <xdr:row>121</xdr:row>
      <xdr:rowOff>76200</xdr:rowOff>
    </xdr:to>
    <xdr:sp>
      <xdr:nvSpPr>
        <xdr:cNvPr id="295" name="AutoShape 558"/>
        <xdr:cNvSpPr>
          <a:spLocks/>
        </xdr:cNvSpPr>
      </xdr:nvSpPr>
      <xdr:spPr>
        <a:xfrm>
          <a:off x="6505575" y="19640550"/>
          <a:ext cx="1000125" cy="6191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124</xdr:row>
      <xdr:rowOff>142875</xdr:rowOff>
    </xdr:from>
    <xdr:to>
      <xdr:col>17</xdr:col>
      <xdr:colOff>342900</xdr:colOff>
      <xdr:row>128</xdr:row>
      <xdr:rowOff>57150</xdr:rowOff>
    </xdr:to>
    <xdr:sp>
      <xdr:nvSpPr>
        <xdr:cNvPr id="296" name="AutoShape 559"/>
        <xdr:cNvSpPr>
          <a:spLocks/>
        </xdr:cNvSpPr>
      </xdr:nvSpPr>
      <xdr:spPr>
        <a:xfrm>
          <a:off x="6467475" y="20812125"/>
          <a:ext cx="1076325" cy="56197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116</xdr:row>
      <xdr:rowOff>66675</xdr:rowOff>
    </xdr:from>
    <xdr:to>
      <xdr:col>21</xdr:col>
      <xdr:colOff>495300</xdr:colOff>
      <xdr:row>122</xdr:row>
      <xdr:rowOff>85725</xdr:rowOff>
    </xdr:to>
    <xdr:sp>
      <xdr:nvSpPr>
        <xdr:cNvPr id="297" name="AutoShape 560"/>
        <xdr:cNvSpPr>
          <a:spLocks/>
        </xdr:cNvSpPr>
      </xdr:nvSpPr>
      <xdr:spPr>
        <a:xfrm>
          <a:off x="8801100" y="19440525"/>
          <a:ext cx="628650" cy="990600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96</xdr:row>
      <xdr:rowOff>142875</xdr:rowOff>
    </xdr:from>
    <xdr:to>
      <xdr:col>10</xdr:col>
      <xdr:colOff>438150</xdr:colOff>
      <xdr:row>98</xdr:row>
      <xdr:rowOff>0</xdr:rowOff>
    </xdr:to>
    <xdr:sp>
      <xdr:nvSpPr>
        <xdr:cNvPr id="298" name="Rectangle 564"/>
        <xdr:cNvSpPr>
          <a:spLocks/>
        </xdr:cNvSpPr>
      </xdr:nvSpPr>
      <xdr:spPr>
        <a:xfrm>
          <a:off x="209550" y="16230600"/>
          <a:ext cx="4419600" cy="180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90</xdr:row>
      <xdr:rowOff>19050</xdr:rowOff>
    </xdr:from>
    <xdr:to>
      <xdr:col>4</xdr:col>
      <xdr:colOff>361950</xdr:colOff>
      <xdr:row>108</xdr:row>
      <xdr:rowOff>114300</xdr:rowOff>
    </xdr:to>
    <xdr:sp>
      <xdr:nvSpPr>
        <xdr:cNvPr id="299" name="Rectangle 565"/>
        <xdr:cNvSpPr>
          <a:spLocks/>
        </xdr:cNvSpPr>
      </xdr:nvSpPr>
      <xdr:spPr>
        <a:xfrm>
          <a:off x="1847850" y="15135225"/>
          <a:ext cx="180975" cy="30099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90</xdr:row>
      <xdr:rowOff>28575</xdr:rowOff>
    </xdr:from>
    <xdr:to>
      <xdr:col>6</xdr:col>
      <xdr:colOff>257175</xdr:colOff>
      <xdr:row>108</xdr:row>
      <xdr:rowOff>123825</xdr:rowOff>
    </xdr:to>
    <xdr:sp>
      <xdr:nvSpPr>
        <xdr:cNvPr id="300" name="Rectangle 566"/>
        <xdr:cNvSpPr>
          <a:spLocks/>
        </xdr:cNvSpPr>
      </xdr:nvSpPr>
      <xdr:spPr>
        <a:xfrm>
          <a:off x="2562225" y="15144750"/>
          <a:ext cx="180975" cy="30099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101</xdr:row>
      <xdr:rowOff>9525</xdr:rowOff>
    </xdr:from>
    <xdr:to>
      <xdr:col>10</xdr:col>
      <xdr:colOff>409575</xdr:colOff>
      <xdr:row>102</xdr:row>
      <xdr:rowOff>28575</xdr:rowOff>
    </xdr:to>
    <xdr:sp>
      <xdr:nvSpPr>
        <xdr:cNvPr id="301" name="Rectangle 567"/>
        <xdr:cNvSpPr>
          <a:spLocks/>
        </xdr:cNvSpPr>
      </xdr:nvSpPr>
      <xdr:spPr>
        <a:xfrm>
          <a:off x="180975" y="16906875"/>
          <a:ext cx="4419600" cy="180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96</xdr:row>
      <xdr:rowOff>76200</xdr:rowOff>
    </xdr:from>
    <xdr:to>
      <xdr:col>1</xdr:col>
      <xdr:colOff>152400</xdr:colOff>
      <xdr:row>102</xdr:row>
      <xdr:rowOff>95250</xdr:rowOff>
    </xdr:to>
    <xdr:sp>
      <xdr:nvSpPr>
        <xdr:cNvPr id="302" name="AutoShape 569"/>
        <xdr:cNvSpPr>
          <a:spLocks/>
        </xdr:cNvSpPr>
      </xdr:nvSpPr>
      <xdr:spPr>
        <a:xfrm>
          <a:off x="57150" y="16163925"/>
          <a:ext cx="628650" cy="990600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90</xdr:row>
      <xdr:rowOff>114300</xdr:rowOff>
    </xdr:from>
    <xdr:to>
      <xdr:col>6</xdr:col>
      <xdr:colOff>352425</xdr:colOff>
      <xdr:row>94</xdr:row>
      <xdr:rowOff>28575</xdr:rowOff>
    </xdr:to>
    <xdr:sp>
      <xdr:nvSpPr>
        <xdr:cNvPr id="303" name="AutoShape 570"/>
        <xdr:cNvSpPr>
          <a:spLocks/>
        </xdr:cNvSpPr>
      </xdr:nvSpPr>
      <xdr:spPr>
        <a:xfrm>
          <a:off x="1762125" y="15230475"/>
          <a:ext cx="1076325" cy="56197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96</xdr:row>
      <xdr:rowOff>114300</xdr:rowOff>
    </xdr:from>
    <xdr:to>
      <xdr:col>4</xdr:col>
      <xdr:colOff>171450</xdr:colOff>
      <xdr:row>102</xdr:row>
      <xdr:rowOff>47625</xdr:rowOff>
    </xdr:to>
    <xdr:sp>
      <xdr:nvSpPr>
        <xdr:cNvPr id="304" name="AutoShape 571"/>
        <xdr:cNvSpPr>
          <a:spLocks/>
        </xdr:cNvSpPr>
      </xdr:nvSpPr>
      <xdr:spPr>
        <a:xfrm>
          <a:off x="1114425" y="16202025"/>
          <a:ext cx="723900" cy="904875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97</xdr:row>
      <xdr:rowOff>104775</xdr:rowOff>
    </xdr:from>
    <xdr:to>
      <xdr:col>6</xdr:col>
      <xdr:colOff>304800</xdr:colOff>
      <xdr:row>101</xdr:row>
      <xdr:rowOff>76200</xdr:rowOff>
    </xdr:to>
    <xdr:sp>
      <xdr:nvSpPr>
        <xdr:cNvPr id="305" name="AutoShape 572"/>
        <xdr:cNvSpPr>
          <a:spLocks/>
        </xdr:cNvSpPr>
      </xdr:nvSpPr>
      <xdr:spPr>
        <a:xfrm>
          <a:off x="1790700" y="16354425"/>
          <a:ext cx="1000125" cy="6191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104</xdr:row>
      <xdr:rowOff>142875</xdr:rowOff>
    </xdr:from>
    <xdr:to>
      <xdr:col>6</xdr:col>
      <xdr:colOff>342900</xdr:colOff>
      <xdr:row>108</xdr:row>
      <xdr:rowOff>57150</xdr:rowOff>
    </xdr:to>
    <xdr:sp>
      <xdr:nvSpPr>
        <xdr:cNvPr id="306" name="AutoShape 573"/>
        <xdr:cNvSpPr>
          <a:spLocks/>
        </xdr:cNvSpPr>
      </xdr:nvSpPr>
      <xdr:spPr>
        <a:xfrm>
          <a:off x="1752600" y="17526000"/>
          <a:ext cx="1076325" cy="56197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96</xdr:row>
      <xdr:rowOff>66675</xdr:rowOff>
    </xdr:from>
    <xdr:to>
      <xdr:col>10</xdr:col>
      <xdr:colOff>495300</xdr:colOff>
      <xdr:row>102</xdr:row>
      <xdr:rowOff>85725</xdr:rowOff>
    </xdr:to>
    <xdr:sp>
      <xdr:nvSpPr>
        <xdr:cNvPr id="307" name="AutoShape 574"/>
        <xdr:cNvSpPr>
          <a:spLocks/>
        </xdr:cNvSpPr>
      </xdr:nvSpPr>
      <xdr:spPr>
        <a:xfrm>
          <a:off x="4076700" y="16154400"/>
          <a:ext cx="609600" cy="990600"/>
        </a:xfrm>
        <a:prstGeom prst="left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142</xdr:row>
      <xdr:rowOff>142875</xdr:rowOff>
    </xdr:from>
    <xdr:to>
      <xdr:col>3</xdr:col>
      <xdr:colOff>66675</xdr:colOff>
      <xdr:row>142</xdr:row>
      <xdr:rowOff>142875</xdr:rowOff>
    </xdr:to>
    <xdr:sp>
      <xdr:nvSpPr>
        <xdr:cNvPr id="308" name="Line 578"/>
        <xdr:cNvSpPr>
          <a:spLocks/>
        </xdr:cNvSpPr>
      </xdr:nvSpPr>
      <xdr:spPr>
        <a:xfrm>
          <a:off x="752475" y="23879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141</xdr:row>
      <xdr:rowOff>104775</xdr:rowOff>
    </xdr:from>
    <xdr:to>
      <xdr:col>3</xdr:col>
      <xdr:colOff>66675</xdr:colOff>
      <xdr:row>142</xdr:row>
      <xdr:rowOff>142875</xdr:rowOff>
    </xdr:to>
    <xdr:sp>
      <xdr:nvSpPr>
        <xdr:cNvPr id="309" name="Line 579"/>
        <xdr:cNvSpPr>
          <a:spLocks/>
        </xdr:cNvSpPr>
      </xdr:nvSpPr>
      <xdr:spPr>
        <a:xfrm flipH="1" flipV="1">
          <a:off x="1314450" y="236791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143</xdr:row>
      <xdr:rowOff>142875</xdr:rowOff>
    </xdr:from>
    <xdr:to>
      <xdr:col>3</xdr:col>
      <xdr:colOff>152400</xdr:colOff>
      <xdr:row>143</xdr:row>
      <xdr:rowOff>142875</xdr:rowOff>
    </xdr:to>
    <xdr:sp>
      <xdr:nvSpPr>
        <xdr:cNvPr id="310" name="Line 580"/>
        <xdr:cNvSpPr>
          <a:spLocks/>
        </xdr:cNvSpPr>
      </xdr:nvSpPr>
      <xdr:spPr>
        <a:xfrm>
          <a:off x="742950" y="24041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144</xdr:row>
      <xdr:rowOff>152400</xdr:rowOff>
    </xdr:from>
    <xdr:to>
      <xdr:col>3</xdr:col>
      <xdr:colOff>66675</xdr:colOff>
      <xdr:row>144</xdr:row>
      <xdr:rowOff>152400</xdr:rowOff>
    </xdr:to>
    <xdr:sp>
      <xdr:nvSpPr>
        <xdr:cNvPr id="311" name="Line 581"/>
        <xdr:cNvSpPr>
          <a:spLocks/>
        </xdr:cNvSpPr>
      </xdr:nvSpPr>
      <xdr:spPr>
        <a:xfrm>
          <a:off x="752475" y="24212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144</xdr:row>
      <xdr:rowOff>152400</xdr:rowOff>
    </xdr:from>
    <xdr:to>
      <xdr:col>3</xdr:col>
      <xdr:colOff>66675</xdr:colOff>
      <xdr:row>146</xdr:row>
      <xdr:rowOff>19050</xdr:rowOff>
    </xdr:to>
    <xdr:sp>
      <xdr:nvSpPr>
        <xdr:cNvPr id="312" name="Line 582"/>
        <xdr:cNvSpPr>
          <a:spLocks/>
        </xdr:cNvSpPr>
      </xdr:nvSpPr>
      <xdr:spPr>
        <a:xfrm flipH="1">
          <a:off x="1314450" y="242125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139</xdr:row>
      <xdr:rowOff>142875</xdr:rowOff>
    </xdr:from>
    <xdr:to>
      <xdr:col>9</xdr:col>
      <xdr:colOff>419100</xdr:colOff>
      <xdr:row>139</xdr:row>
      <xdr:rowOff>142875</xdr:rowOff>
    </xdr:to>
    <xdr:sp>
      <xdr:nvSpPr>
        <xdr:cNvPr id="313" name="Line 583"/>
        <xdr:cNvSpPr>
          <a:spLocks/>
        </xdr:cNvSpPr>
      </xdr:nvSpPr>
      <xdr:spPr>
        <a:xfrm>
          <a:off x="3419475" y="23393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140</xdr:row>
      <xdr:rowOff>142875</xdr:rowOff>
    </xdr:from>
    <xdr:to>
      <xdr:col>10</xdr:col>
      <xdr:colOff>47625</xdr:colOff>
      <xdr:row>140</xdr:row>
      <xdr:rowOff>142875</xdr:rowOff>
    </xdr:to>
    <xdr:sp>
      <xdr:nvSpPr>
        <xdr:cNvPr id="314" name="Line 584"/>
        <xdr:cNvSpPr>
          <a:spLocks/>
        </xdr:cNvSpPr>
      </xdr:nvSpPr>
      <xdr:spPr>
        <a:xfrm>
          <a:off x="3305175" y="235553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152400</xdr:rowOff>
    </xdr:from>
    <xdr:to>
      <xdr:col>9</xdr:col>
      <xdr:colOff>419100</xdr:colOff>
      <xdr:row>141</xdr:row>
      <xdr:rowOff>152400</xdr:rowOff>
    </xdr:to>
    <xdr:sp>
      <xdr:nvSpPr>
        <xdr:cNvPr id="315" name="Line 585"/>
        <xdr:cNvSpPr>
          <a:spLocks/>
        </xdr:cNvSpPr>
      </xdr:nvSpPr>
      <xdr:spPr>
        <a:xfrm>
          <a:off x="3419475" y="237267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138</xdr:row>
      <xdr:rowOff>95250</xdr:rowOff>
    </xdr:from>
    <xdr:to>
      <xdr:col>8</xdr:col>
      <xdr:colOff>114300</xdr:colOff>
      <xdr:row>139</xdr:row>
      <xdr:rowOff>133350</xdr:rowOff>
    </xdr:to>
    <xdr:sp>
      <xdr:nvSpPr>
        <xdr:cNvPr id="316" name="Line 586"/>
        <xdr:cNvSpPr>
          <a:spLocks/>
        </xdr:cNvSpPr>
      </xdr:nvSpPr>
      <xdr:spPr>
        <a:xfrm flipH="1" flipV="1">
          <a:off x="3409950" y="231838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142875</xdr:rowOff>
    </xdr:from>
    <xdr:to>
      <xdr:col>8</xdr:col>
      <xdr:colOff>123825</xdr:colOff>
      <xdr:row>143</xdr:row>
      <xdr:rowOff>9525</xdr:rowOff>
    </xdr:to>
    <xdr:sp>
      <xdr:nvSpPr>
        <xdr:cNvPr id="317" name="Line 587"/>
        <xdr:cNvSpPr>
          <a:spLocks/>
        </xdr:cNvSpPr>
      </xdr:nvSpPr>
      <xdr:spPr>
        <a:xfrm flipH="1">
          <a:off x="3419475" y="237172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146</xdr:row>
      <xdr:rowOff>57150</xdr:rowOff>
    </xdr:from>
    <xdr:to>
      <xdr:col>7</xdr:col>
      <xdr:colOff>0</xdr:colOff>
      <xdr:row>149</xdr:row>
      <xdr:rowOff>28575</xdr:rowOff>
    </xdr:to>
    <xdr:sp>
      <xdr:nvSpPr>
        <xdr:cNvPr id="318" name="Line 588"/>
        <xdr:cNvSpPr>
          <a:spLocks/>
        </xdr:cNvSpPr>
      </xdr:nvSpPr>
      <xdr:spPr>
        <a:xfrm flipV="1">
          <a:off x="2895600" y="24441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146</xdr:row>
      <xdr:rowOff>152400</xdr:rowOff>
    </xdr:from>
    <xdr:to>
      <xdr:col>6</xdr:col>
      <xdr:colOff>0</xdr:colOff>
      <xdr:row>146</xdr:row>
      <xdr:rowOff>152400</xdr:rowOff>
    </xdr:to>
    <xdr:sp>
      <xdr:nvSpPr>
        <xdr:cNvPr id="319" name="Line 590"/>
        <xdr:cNvSpPr>
          <a:spLocks/>
        </xdr:cNvSpPr>
      </xdr:nvSpPr>
      <xdr:spPr>
        <a:xfrm flipH="1">
          <a:off x="2190750" y="24536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152400</xdr:rowOff>
    </xdr:from>
    <xdr:to>
      <xdr:col>8</xdr:col>
      <xdr:colOff>0</xdr:colOff>
      <xdr:row>149</xdr:row>
      <xdr:rowOff>57150</xdr:rowOff>
    </xdr:to>
    <xdr:sp>
      <xdr:nvSpPr>
        <xdr:cNvPr id="320" name="Line 591"/>
        <xdr:cNvSpPr>
          <a:spLocks/>
        </xdr:cNvSpPr>
      </xdr:nvSpPr>
      <xdr:spPr>
        <a:xfrm flipV="1">
          <a:off x="3305175" y="245364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152400</xdr:rowOff>
    </xdr:from>
    <xdr:to>
      <xdr:col>8</xdr:col>
      <xdr:colOff>190500</xdr:colOff>
      <xdr:row>146</xdr:row>
      <xdr:rowOff>152400</xdr:rowOff>
    </xdr:to>
    <xdr:sp>
      <xdr:nvSpPr>
        <xdr:cNvPr id="321" name="Line 592"/>
        <xdr:cNvSpPr>
          <a:spLocks/>
        </xdr:cNvSpPr>
      </xdr:nvSpPr>
      <xdr:spPr>
        <a:xfrm>
          <a:off x="3305175" y="24536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5</xdr:col>
      <xdr:colOff>0</xdr:colOff>
      <xdr:row>138</xdr:row>
      <xdr:rowOff>104775</xdr:rowOff>
    </xdr:to>
    <xdr:sp>
      <xdr:nvSpPr>
        <xdr:cNvPr id="322" name="Line 593"/>
        <xdr:cNvSpPr>
          <a:spLocks/>
        </xdr:cNvSpPr>
      </xdr:nvSpPr>
      <xdr:spPr>
        <a:xfrm flipV="1">
          <a:off x="2076450" y="22783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114300</xdr:rowOff>
    </xdr:from>
    <xdr:to>
      <xdr:col>4</xdr:col>
      <xdr:colOff>0</xdr:colOff>
      <xdr:row>138</xdr:row>
      <xdr:rowOff>19050</xdr:rowOff>
    </xdr:to>
    <xdr:sp>
      <xdr:nvSpPr>
        <xdr:cNvPr id="323" name="Line 594"/>
        <xdr:cNvSpPr>
          <a:spLocks/>
        </xdr:cNvSpPr>
      </xdr:nvSpPr>
      <xdr:spPr>
        <a:xfrm flipV="1">
          <a:off x="1666875" y="227171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138</xdr:row>
      <xdr:rowOff>19050</xdr:rowOff>
    </xdr:from>
    <xdr:to>
      <xdr:col>3</xdr:col>
      <xdr:colOff>400050</xdr:colOff>
      <xdr:row>138</xdr:row>
      <xdr:rowOff>19050</xdr:rowOff>
    </xdr:to>
    <xdr:sp>
      <xdr:nvSpPr>
        <xdr:cNvPr id="324" name="Line 595"/>
        <xdr:cNvSpPr>
          <a:spLocks/>
        </xdr:cNvSpPr>
      </xdr:nvSpPr>
      <xdr:spPr>
        <a:xfrm flipH="1">
          <a:off x="1362075" y="23107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133350</xdr:rowOff>
    </xdr:from>
    <xdr:to>
      <xdr:col>6</xdr:col>
      <xdr:colOff>0</xdr:colOff>
      <xdr:row>138</xdr:row>
      <xdr:rowOff>0</xdr:rowOff>
    </xdr:to>
    <xdr:sp>
      <xdr:nvSpPr>
        <xdr:cNvPr id="325" name="Line 596"/>
        <xdr:cNvSpPr>
          <a:spLocks/>
        </xdr:cNvSpPr>
      </xdr:nvSpPr>
      <xdr:spPr>
        <a:xfrm flipV="1">
          <a:off x="2486025" y="227361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190500</xdr:colOff>
      <xdr:row>138</xdr:row>
      <xdr:rowOff>0</xdr:rowOff>
    </xdr:to>
    <xdr:sp>
      <xdr:nvSpPr>
        <xdr:cNvPr id="326" name="Line 597"/>
        <xdr:cNvSpPr>
          <a:spLocks/>
        </xdr:cNvSpPr>
      </xdr:nvSpPr>
      <xdr:spPr>
        <a:xfrm>
          <a:off x="2486025" y="23088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152</xdr:row>
      <xdr:rowOff>0</xdr:rowOff>
    </xdr:from>
    <xdr:to>
      <xdr:col>0</xdr:col>
      <xdr:colOff>495300</xdr:colOff>
      <xdr:row>152</xdr:row>
      <xdr:rowOff>0</xdr:rowOff>
    </xdr:to>
    <xdr:sp>
      <xdr:nvSpPr>
        <xdr:cNvPr id="327" name="AutoShape 662"/>
        <xdr:cNvSpPr>
          <a:spLocks/>
        </xdr:cNvSpPr>
      </xdr:nvSpPr>
      <xdr:spPr>
        <a:xfrm>
          <a:off x="57150" y="25365075"/>
          <a:ext cx="438150" cy="0"/>
        </a:xfrm>
        <a:prstGeom prst="leftRightArrow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140</xdr:row>
      <xdr:rowOff>142875</xdr:rowOff>
    </xdr:from>
    <xdr:to>
      <xdr:col>9</xdr:col>
      <xdr:colOff>419100</xdr:colOff>
      <xdr:row>140</xdr:row>
      <xdr:rowOff>142875</xdr:rowOff>
    </xdr:to>
    <xdr:sp>
      <xdr:nvSpPr>
        <xdr:cNvPr id="328" name="Line 698"/>
        <xdr:cNvSpPr>
          <a:spLocks/>
        </xdr:cNvSpPr>
      </xdr:nvSpPr>
      <xdr:spPr>
        <a:xfrm>
          <a:off x="3419475" y="235553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142875</xdr:rowOff>
    </xdr:from>
    <xdr:to>
      <xdr:col>9</xdr:col>
      <xdr:colOff>419100</xdr:colOff>
      <xdr:row>141</xdr:row>
      <xdr:rowOff>142875</xdr:rowOff>
    </xdr:to>
    <xdr:sp>
      <xdr:nvSpPr>
        <xdr:cNvPr id="329" name="Line 699"/>
        <xdr:cNvSpPr>
          <a:spLocks/>
        </xdr:cNvSpPr>
      </xdr:nvSpPr>
      <xdr:spPr>
        <a:xfrm>
          <a:off x="3419475" y="237172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146</xdr:row>
      <xdr:rowOff>142875</xdr:rowOff>
    </xdr:from>
    <xdr:to>
      <xdr:col>5</xdr:col>
      <xdr:colOff>400050</xdr:colOff>
      <xdr:row>149</xdr:row>
      <xdr:rowOff>76200</xdr:rowOff>
    </xdr:to>
    <xdr:sp>
      <xdr:nvSpPr>
        <xdr:cNvPr id="330" name="Line 700"/>
        <xdr:cNvSpPr>
          <a:spLocks/>
        </xdr:cNvSpPr>
      </xdr:nvSpPr>
      <xdr:spPr>
        <a:xfrm flipV="1">
          <a:off x="2476500" y="245268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143</xdr:row>
      <xdr:rowOff>142875</xdr:rowOff>
    </xdr:from>
    <xdr:to>
      <xdr:col>3</xdr:col>
      <xdr:colOff>66675</xdr:colOff>
      <xdr:row>143</xdr:row>
      <xdr:rowOff>142875</xdr:rowOff>
    </xdr:to>
    <xdr:sp>
      <xdr:nvSpPr>
        <xdr:cNvPr id="331" name="Line 701"/>
        <xdr:cNvSpPr>
          <a:spLocks/>
        </xdr:cNvSpPr>
      </xdr:nvSpPr>
      <xdr:spPr>
        <a:xfrm>
          <a:off x="752475" y="24041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144</xdr:row>
      <xdr:rowOff>142875</xdr:rowOff>
    </xdr:from>
    <xdr:to>
      <xdr:col>3</xdr:col>
      <xdr:colOff>66675</xdr:colOff>
      <xdr:row>144</xdr:row>
      <xdr:rowOff>142875</xdr:rowOff>
    </xdr:to>
    <xdr:sp>
      <xdr:nvSpPr>
        <xdr:cNvPr id="332" name="Line 702"/>
        <xdr:cNvSpPr>
          <a:spLocks/>
        </xdr:cNvSpPr>
      </xdr:nvSpPr>
      <xdr:spPr>
        <a:xfrm>
          <a:off x="752475" y="24203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142</xdr:row>
      <xdr:rowOff>142875</xdr:rowOff>
    </xdr:from>
    <xdr:to>
      <xdr:col>14</xdr:col>
      <xdr:colOff>66675</xdr:colOff>
      <xdr:row>142</xdr:row>
      <xdr:rowOff>142875</xdr:rowOff>
    </xdr:to>
    <xdr:sp>
      <xdr:nvSpPr>
        <xdr:cNvPr id="333" name="Line 708"/>
        <xdr:cNvSpPr>
          <a:spLocks/>
        </xdr:cNvSpPr>
      </xdr:nvSpPr>
      <xdr:spPr>
        <a:xfrm>
          <a:off x="5467350" y="23879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141</xdr:row>
      <xdr:rowOff>104775</xdr:rowOff>
    </xdr:from>
    <xdr:to>
      <xdr:col>14</xdr:col>
      <xdr:colOff>66675</xdr:colOff>
      <xdr:row>142</xdr:row>
      <xdr:rowOff>142875</xdr:rowOff>
    </xdr:to>
    <xdr:sp>
      <xdr:nvSpPr>
        <xdr:cNvPr id="334" name="Line 709"/>
        <xdr:cNvSpPr>
          <a:spLocks/>
        </xdr:cNvSpPr>
      </xdr:nvSpPr>
      <xdr:spPr>
        <a:xfrm flipH="1" flipV="1">
          <a:off x="6029325" y="236791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143</xdr:row>
      <xdr:rowOff>142875</xdr:rowOff>
    </xdr:from>
    <xdr:to>
      <xdr:col>14</xdr:col>
      <xdr:colOff>152400</xdr:colOff>
      <xdr:row>143</xdr:row>
      <xdr:rowOff>142875</xdr:rowOff>
    </xdr:to>
    <xdr:sp>
      <xdr:nvSpPr>
        <xdr:cNvPr id="335" name="Line 710"/>
        <xdr:cNvSpPr>
          <a:spLocks/>
        </xdr:cNvSpPr>
      </xdr:nvSpPr>
      <xdr:spPr>
        <a:xfrm>
          <a:off x="5457825" y="24041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144</xdr:row>
      <xdr:rowOff>152400</xdr:rowOff>
    </xdr:from>
    <xdr:to>
      <xdr:col>14</xdr:col>
      <xdr:colOff>66675</xdr:colOff>
      <xdr:row>144</xdr:row>
      <xdr:rowOff>152400</xdr:rowOff>
    </xdr:to>
    <xdr:sp>
      <xdr:nvSpPr>
        <xdr:cNvPr id="336" name="Line 711"/>
        <xdr:cNvSpPr>
          <a:spLocks/>
        </xdr:cNvSpPr>
      </xdr:nvSpPr>
      <xdr:spPr>
        <a:xfrm>
          <a:off x="5467350" y="24212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144</xdr:row>
      <xdr:rowOff>152400</xdr:rowOff>
    </xdr:from>
    <xdr:to>
      <xdr:col>14</xdr:col>
      <xdr:colOff>66675</xdr:colOff>
      <xdr:row>146</xdr:row>
      <xdr:rowOff>19050</xdr:rowOff>
    </xdr:to>
    <xdr:sp>
      <xdr:nvSpPr>
        <xdr:cNvPr id="337" name="Line 712"/>
        <xdr:cNvSpPr>
          <a:spLocks/>
        </xdr:cNvSpPr>
      </xdr:nvSpPr>
      <xdr:spPr>
        <a:xfrm flipH="1">
          <a:off x="6029325" y="242125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139</xdr:row>
      <xdr:rowOff>142875</xdr:rowOff>
    </xdr:from>
    <xdr:to>
      <xdr:col>20</xdr:col>
      <xdr:colOff>419100</xdr:colOff>
      <xdr:row>139</xdr:row>
      <xdr:rowOff>142875</xdr:rowOff>
    </xdr:to>
    <xdr:sp>
      <xdr:nvSpPr>
        <xdr:cNvPr id="338" name="Line 713"/>
        <xdr:cNvSpPr>
          <a:spLocks/>
        </xdr:cNvSpPr>
      </xdr:nvSpPr>
      <xdr:spPr>
        <a:xfrm>
          <a:off x="8134350" y="23393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140</xdr:row>
      <xdr:rowOff>142875</xdr:rowOff>
    </xdr:from>
    <xdr:to>
      <xdr:col>21</xdr:col>
      <xdr:colOff>47625</xdr:colOff>
      <xdr:row>140</xdr:row>
      <xdr:rowOff>142875</xdr:rowOff>
    </xdr:to>
    <xdr:sp>
      <xdr:nvSpPr>
        <xdr:cNvPr id="339" name="Line 714"/>
        <xdr:cNvSpPr>
          <a:spLocks/>
        </xdr:cNvSpPr>
      </xdr:nvSpPr>
      <xdr:spPr>
        <a:xfrm>
          <a:off x="8020050" y="23555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141</xdr:row>
      <xdr:rowOff>152400</xdr:rowOff>
    </xdr:from>
    <xdr:to>
      <xdr:col>20</xdr:col>
      <xdr:colOff>419100</xdr:colOff>
      <xdr:row>141</xdr:row>
      <xdr:rowOff>152400</xdr:rowOff>
    </xdr:to>
    <xdr:sp>
      <xdr:nvSpPr>
        <xdr:cNvPr id="340" name="Line 715"/>
        <xdr:cNvSpPr>
          <a:spLocks/>
        </xdr:cNvSpPr>
      </xdr:nvSpPr>
      <xdr:spPr>
        <a:xfrm>
          <a:off x="8134350" y="23726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138</xdr:row>
      <xdr:rowOff>95250</xdr:rowOff>
    </xdr:from>
    <xdr:to>
      <xdr:col>19</xdr:col>
      <xdr:colOff>114300</xdr:colOff>
      <xdr:row>139</xdr:row>
      <xdr:rowOff>133350</xdr:rowOff>
    </xdr:to>
    <xdr:sp>
      <xdr:nvSpPr>
        <xdr:cNvPr id="341" name="Line 716"/>
        <xdr:cNvSpPr>
          <a:spLocks/>
        </xdr:cNvSpPr>
      </xdr:nvSpPr>
      <xdr:spPr>
        <a:xfrm flipH="1" flipV="1">
          <a:off x="8124825" y="231838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141</xdr:row>
      <xdr:rowOff>142875</xdr:rowOff>
    </xdr:from>
    <xdr:to>
      <xdr:col>19</xdr:col>
      <xdr:colOff>123825</xdr:colOff>
      <xdr:row>143</xdr:row>
      <xdr:rowOff>9525</xdr:rowOff>
    </xdr:to>
    <xdr:sp>
      <xdr:nvSpPr>
        <xdr:cNvPr id="342" name="Line 717"/>
        <xdr:cNvSpPr>
          <a:spLocks/>
        </xdr:cNvSpPr>
      </xdr:nvSpPr>
      <xdr:spPr>
        <a:xfrm flipH="1">
          <a:off x="8134350" y="237172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57150</xdr:rowOff>
    </xdr:from>
    <xdr:to>
      <xdr:col>18</xdr:col>
      <xdr:colOff>0</xdr:colOff>
      <xdr:row>149</xdr:row>
      <xdr:rowOff>28575</xdr:rowOff>
    </xdr:to>
    <xdr:sp>
      <xdr:nvSpPr>
        <xdr:cNvPr id="343" name="Line 718"/>
        <xdr:cNvSpPr>
          <a:spLocks/>
        </xdr:cNvSpPr>
      </xdr:nvSpPr>
      <xdr:spPr>
        <a:xfrm flipV="1">
          <a:off x="7610475" y="24441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146</xdr:row>
      <xdr:rowOff>152400</xdr:rowOff>
    </xdr:from>
    <xdr:to>
      <xdr:col>17</xdr:col>
      <xdr:colOff>0</xdr:colOff>
      <xdr:row>146</xdr:row>
      <xdr:rowOff>152400</xdr:rowOff>
    </xdr:to>
    <xdr:sp>
      <xdr:nvSpPr>
        <xdr:cNvPr id="344" name="Line 719"/>
        <xdr:cNvSpPr>
          <a:spLocks/>
        </xdr:cNvSpPr>
      </xdr:nvSpPr>
      <xdr:spPr>
        <a:xfrm flipH="1">
          <a:off x="6905625" y="24536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146</xdr:row>
      <xdr:rowOff>152400</xdr:rowOff>
    </xdr:from>
    <xdr:to>
      <xdr:col>19</xdr:col>
      <xdr:colOff>0</xdr:colOff>
      <xdr:row>149</xdr:row>
      <xdr:rowOff>57150</xdr:rowOff>
    </xdr:to>
    <xdr:sp>
      <xdr:nvSpPr>
        <xdr:cNvPr id="345" name="Line 720"/>
        <xdr:cNvSpPr>
          <a:spLocks/>
        </xdr:cNvSpPr>
      </xdr:nvSpPr>
      <xdr:spPr>
        <a:xfrm flipV="1">
          <a:off x="8020050" y="245364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146</xdr:row>
      <xdr:rowOff>152400</xdr:rowOff>
    </xdr:from>
    <xdr:to>
      <xdr:col>19</xdr:col>
      <xdr:colOff>190500</xdr:colOff>
      <xdr:row>146</xdr:row>
      <xdr:rowOff>152400</xdr:rowOff>
    </xdr:to>
    <xdr:sp>
      <xdr:nvSpPr>
        <xdr:cNvPr id="346" name="Line 721"/>
        <xdr:cNvSpPr>
          <a:spLocks/>
        </xdr:cNvSpPr>
      </xdr:nvSpPr>
      <xdr:spPr>
        <a:xfrm>
          <a:off x="8020050" y="24536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136</xdr:row>
      <xdr:rowOff>19050</xdr:rowOff>
    </xdr:from>
    <xdr:to>
      <xdr:col>16</xdr:col>
      <xdr:colOff>0</xdr:colOff>
      <xdr:row>138</xdr:row>
      <xdr:rowOff>104775</xdr:rowOff>
    </xdr:to>
    <xdr:sp>
      <xdr:nvSpPr>
        <xdr:cNvPr id="347" name="Line 722"/>
        <xdr:cNvSpPr>
          <a:spLocks/>
        </xdr:cNvSpPr>
      </xdr:nvSpPr>
      <xdr:spPr>
        <a:xfrm flipV="1">
          <a:off x="6791325" y="22783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135</xdr:row>
      <xdr:rowOff>114300</xdr:rowOff>
    </xdr:from>
    <xdr:to>
      <xdr:col>15</xdr:col>
      <xdr:colOff>0</xdr:colOff>
      <xdr:row>138</xdr:row>
      <xdr:rowOff>19050</xdr:rowOff>
    </xdr:to>
    <xdr:sp>
      <xdr:nvSpPr>
        <xdr:cNvPr id="348" name="Line 723"/>
        <xdr:cNvSpPr>
          <a:spLocks/>
        </xdr:cNvSpPr>
      </xdr:nvSpPr>
      <xdr:spPr>
        <a:xfrm flipV="1">
          <a:off x="6381750" y="227171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138</xdr:row>
      <xdr:rowOff>19050</xdr:rowOff>
    </xdr:from>
    <xdr:to>
      <xdr:col>14</xdr:col>
      <xdr:colOff>400050</xdr:colOff>
      <xdr:row>138</xdr:row>
      <xdr:rowOff>19050</xdr:rowOff>
    </xdr:to>
    <xdr:sp>
      <xdr:nvSpPr>
        <xdr:cNvPr id="349" name="Line 724"/>
        <xdr:cNvSpPr>
          <a:spLocks/>
        </xdr:cNvSpPr>
      </xdr:nvSpPr>
      <xdr:spPr>
        <a:xfrm flipH="1">
          <a:off x="6076950" y="23107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135</xdr:row>
      <xdr:rowOff>133350</xdr:rowOff>
    </xdr:from>
    <xdr:to>
      <xdr:col>17</xdr:col>
      <xdr:colOff>0</xdr:colOff>
      <xdr:row>138</xdr:row>
      <xdr:rowOff>0</xdr:rowOff>
    </xdr:to>
    <xdr:sp>
      <xdr:nvSpPr>
        <xdr:cNvPr id="350" name="Line 725"/>
        <xdr:cNvSpPr>
          <a:spLocks/>
        </xdr:cNvSpPr>
      </xdr:nvSpPr>
      <xdr:spPr>
        <a:xfrm flipV="1">
          <a:off x="7200900" y="227361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138</xdr:row>
      <xdr:rowOff>0</xdr:rowOff>
    </xdr:from>
    <xdr:to>
      <xdr:col>17</xdr:col>
      <xdr:colOff>190500</xdr:colOff>
      <xdr:row>138</xdr:row>
      <xdr:rowOff>0</xdr:rowOff>
    </xdr:to>
    <xdr:sp>
      <xdr:nvSpPr>
        <xdr:cNvPr id="351" name="Line 726"/>
        <xdr:cNvSpPr>
          <a:spLocks/>
        </xdr:cNvSpPr>
      </xdr:nvSpPr>
      <xdr:spPr>
        <a:xfrm>
          <a:off x="7200900" y="23088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140</xdr:row>
      <xdr:rowOff>142875</xdr:rowOff>
    </xdr:from>
    <xdr:to>
      <xdr:col>20</xdr:col>
      <xdr:colOff>419100</xdr:colOff>
      <xdr:row>140</xdr:row>
      <xdr:rowOff>142875</xdr:rowOff>
    </xdr:to>
    <xdr:sp>
      <xdr:nvSpPr>
        <xdr:cNvPr id="352" name="Line 727"/>
        <xdr:cNvSpPr>
          <a:spLocks/>
        </xdr:cNvSpPr>
      </xdr:nvSpPr>
      <xdr:spPr>
        <a:xfrm>
          <a:off x="8134350" y="235553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141</xdr:row>
      <xdr:rowOff>142875</xdr:rowOff>
    </xdr:from>
    <xdr:to>
      <xdr:col>20</xdr:col>
      <xdr:colOff>419100</xdr:colOff>
      <xdr:row>141</xdr:row>
      <xdr:rowOff>142875</xdr:rowOff>
    </xdr:to>
    <xdr:sp>
      <xdr:nvSpPr>
        <xdr:cNvPr id="353" name="Line 728"/>
        <xdr:cNvSpPr>
          <a:spLocks/>
        </xdr:cNvSpPr>
      </xdr:nvSpPr>
      <xdr:spPr>
        <a:xfrm>
          <a:off x="8134350" y="237172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146</xdr:row>
      <xdr:rowOff>142875</xdr:rowOff>
    </xdr:from>
    <xdr:to>
      <xdr:col>16</xdr:col>
      <xdr:colOff>400050</xdr:colOff>
      <xdr:row>149</xdr:row>
      <xdr:rowOff>76200</xdr:rowOff>
    </xdr:to>
    <xdr:sp>
      <xdr:nvSpPr>
        <xdr:cNvPr id="354" name="Line 729"/>
        <xdr:cNvSpPr>
          <a:spLocks/>
        </xdr:cNvSpPr>
      </xdr:nvSpPr>
      <xdr:spPr>
        <a:xfrm flipV="1">
          <a:off x="7191375" y="245268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143</xdr:row>
      <xdr:rowOff>142875</xdr:rowOff>
    </xdr:from>
    <xdr:to>
      <xdr:col>14</xdr:col>
      <xdr:colOff>66675</xdr:colOff>
      <xdr:row>143</xdr:row>
      <xdr:rowOff>142875</xdr:rowOff>
    </xdr:to>
    <xdr:sp>
      <xdr:nvSpPr>
        <xdr:cNvPr id="355" name="Line 730"/>
        <xdr:cNvSpPr>
          <a:spLocks/>
        </xdr:cNvSpPr>
      </xdr:nvSpPr>
      <xdr:spPr>
        <a:xfrm>
          <a:off x="5467350" y="24041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144</xdr:row>
      <xdr:rowOff>142875</xdr:rowOff>
    </xdr:from>
    <xdr:to>
      <xdr:col>14</xdr:col>
      <xdr:colOff>66675</xdr:colOff>
      <xdr:row>144</xdr:row>
      <xdr:rowOff>142875</xdr:rowOff>
    </xdr:to>
    <xdr:sp>
      <xdr:nvSpPr>
        <xdr:cNvPr id="356" name="Line 731"/>
        <xdr:cNvSpPr>
          <a:spLocks/>
        </xdr:cNvSpPr>
      </xdr:nvSpPr>
      <xdr:spPr>
        <a:xfrm>
          <a:off x="5467350" y="24203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162</xdr:row>
      <xdr:rowOff>142875</xdr:rowOff>
    </xdr:from>
    <xdr:to>
      <xdr:col>3</xdr:col>
      <xdr:colOff>66675</xdr:colOff>
      <xdr:row>162</xdr:row>
      <xdr:rowOff>142875</xdr:rowOff>
    </xdr:to>
    <xdr:sp>
      <xdr:nvSpPr>
        <xdr:cNvPr id="357" name="Line 732"/>
        <xdr:cNvSpPr>
          <a:spLocks/>
        </xdr:cNvSpPr>
      </xdr:nvSpPr>
      <xdr:spPr>
        <a:xfrm>
          <a:off x="752475" y="27165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161</xdr:row>
      <xdr:rowOff>104775</xdr:rowOff>
    </xdr:from>
    <xdr:to>
      <xdr:col>3</xdr:col>
      <xdr:colOff>66675</xdr:colOff>
      <xdr:row>162</xdr:row>
      <xdr:rowOff>142875</xdr:rowOff>
    </xdr:to>
    <xdr:sp>
      <xdr:nvSpPr>
        <xdr:cNvPr id="358" name="Line 733"/>
        <xdr:cNvSpPr>
          <a:spLocks/>
        </xdr:cNvSpPr>
      </xdr:nvSpPr>
      <xdr:spPr>
        <a:xfrm flipH="1" flipV="1">
          <a:off x="1314450" y="26965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163</xdr:row>
      <xdr:rowOff>142875</xdr:rowOff>
    </xdr:from>
    <xdr:to>
      <xdr:col>3</xdr:col>
      <xdr:colOff>152400</xdr:colOff>
      <xdr:row>163</xdr:row>
      <xdr:rowOff>142875</xdr:rowOff>
    </xdr:to>
    <xdr:sp>
      <xdr:nvSpPr>
        <xdr:cNvPr id="359" name="Line 734"/>
        <xdr:cNvSpPr>
          <a:spLocks/>
        </xdr:cNvSpPr>
      </xdr:nvSpPr>
      <xdr:spPr>
        <a:xfrm>
          <a:off x="742950" y="273272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164</xdr:row>
      <xdr:rowOff>152400</xdr:rowOff>
    </xdr:from>
    <xdr:to>
      <xdr:col>3</xdr:col>
      <xdr:colOff>66675</xdr:colOff>
      <xdr:row>164</xdr:row>
      <xdr:rowOff>152400</xdr:rowOff>
    </xdr:to>
    <xdr:sp>
      <xdr:nvSpPr>
        <xdr:cNvPr id="360" name="Line 735"/>
        <xdr:cNvSpPr>
          <a:spLocks/>
        </xdr:cNvSpPr>
      </xdr:nvSpPr>
      <xdr:spPr>
        <a:xfrm>
          <a:off x="752475" y="27498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164</xdr:row>
      <xdr:rowOff>152400</xdr:rowOff>
    </xdr:from>
    <xdr:to>
      <xdr:col>3</xdr:col>
      <xdr:colOff>66675</xdr:colOff>
      <xdr:row>166</xdr:row>
      <xdr:rowOff>19050</xdr:rowOff>
    </xdr:to>
    <xdr:sp>
      <xdr:nvSpPr>
        <xdr:cNvPr id="361" name="Line 736"/>
        <xdr:cNvSpPr>
          <a:spLocks/>
        </xdr:cNvSpPr>
      </xdr:nvSpPr>
      <xdr:spPr>
        <a:xfrm flipH="1">
          <a:off x="1314450" y="274986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159</xdr:row>
      <xdr:rowOff>142875</xdr:rowOff>
    </xdr:from>
    <xdr:to>
      <xdr:col>9</xdr:col>
      <xdr:colOff>419100</xdr:colOff>
      <xdr:row>159</xdr:row>
      <xdr:rowOff>142875</xdr:rowOff>
    </xdr:to>
    <xdr:sp>
      <xdr:nvSpPr>
        <xdr:cNvPr id="362" name="Line 737"/>
        <xdr:cNvSpPr>
          <a:spLocks/>
        </xdr:cNvSpPr>
      </xdr:nvSpPr>
      <xdr:spPr>
        <a:xfrm>
          <a:off x="3419475" y="266795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160</xdr:row>
      <xdr:rowOff>142875</xdr:rowOff>
    </xdr:from>
    <xdr:to>
      <xdr:col>10</xdr:col>
      <xdr:colOff>47625</xdr:colOff>
      <xdr:row>160</xdr:row>
      <xdr:rowOff>142875</xdr:rowOff>
    </xdr:to>
    <xdr:sp>
      <xdr:nvSpPr>
        <xdr:cNvPr id="363" name="Line 738"/>
        <xdr:cNvSpPr>
          <a:spLocks/>
        </xdr:cNvSpPr>
      </xdr:nvSpPr>
      <xdr:spPr>
        <a:xfrm>
          <a:off x="3305175" y="26841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161</xdr:row>
      <xdr:rowOff>152400</xdr:rowOff>
    </xdr:from>
    <xdr:to>
      <xdr:col>9</xdr:col>
      <xdr:colOff>419100</xdr:colOff>
      <xdr:row>161</xdr:row>
      <xdr:rowOff>152400</xdr:rowOff>
    </xdr:to>
    <xdr:sp>
      <xdr:nvSpPr>
        <xdr:cNvPr id="364" name="Line 739"/>
        <xdr:cNvSpPr>
          <a:spLocks/>
        </xdr:cNvSpPr>
      </xdr:nvSpPr>
      <xdr:spPr>
        <a:xfrm>
          <a:off x="3419475" y="27012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158</xdr:row>
      <xdr:rowOff>95250</xdr:rowOff>
    </xdr:from>
    <xdr:to>
      <xdr:col>8</xdr:col>
      <xdr:colOff>114300</xdr:colOff>
      <xdr:row>159</xdr:row>
      <xdr:rowOff>133350</xdr:rowOff>
    </xdr:to>
    <xdr:sp>
      <xdr:nvSpPr>
        <xdr:cNvPr id="365" name="Line 740"/>
        <xdr:cNvSpPr>
          <a:spLocks/>
        </xdr:cNvSpPr>
      </xdr:nvSpPr>
      <xdr:spPr>
        <a:xfrm flipH="1" flipV="1">
          <a:off x="3409950" y="26469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161</xdr:row>
      <xdr:rowOff>142875</xdr:rowOff>
    </xdr:from>
    <xdr:to>
      <xdr:col>8</xdr:col>
      <xdr:colOff>123825</xdr:colOff>
      <xdr:row>163</xdr:row>
      <xdr:rowOff>9525</xdr:rowOff>
    </xdr:to>
    <xdr:sp>
      <xdr:nvSpPr>
        <xdr:cNvPr id="366" name="Line 741"/>
        <xdr:cNvSpPr>
          <a:spLocks/>
        </xdr:cNvSpPr>
      </xdr:nvSpPr>
      <xdr:spPr>
        <a:xfrm flipH="1">
          <a:off x="3419475" y="270033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166</xdr:row>
      <xdr:rowOff>57150</xdr:rowOff>
    </xdr:from>
    <xdr:to>
      <xdr:col>7</xdr:col>
      <xdr:colOff>0</xdr:colOff>
      <xdr:row>169</xdr:row>
      <xdr:rowOff>28575</xdr:rowOff>
    </xdr:to>
    <xdr:sp>
      <xdr:nvSpPr>
        <xdr:cNvPr id="367" name="Line 742"/>
        <xdr:cNvSpPr>
          <a:spLocks/>
        </xdr:cNvSpPr>
      </xdr:nvSpPr>
      <xdr:spPr>
        <a:xfrm flipV="1">
          <a:off x="2895600" y="277272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166</xdr:row>
      <xdr:rowOff>152400</xdr:rowOff>
    </xdr:from>
    <xdr:to>
      <xdr:col>6</xdr:col>
      <xdr:colOff>0</xdr:colOff>
      <xdr:row>166</xdr:row>
      <xdr:rowOff>152400</xdr:rowOff>
    </xdr:to>
    <xdr:sp>
      <xdr:nvSpPr>
        <xdr:cNvPr id="368" name="Line 743"/>
        <xdr:cNvSpPr>
          <a:spLocks/>
        </xdr:cNvSpPr>
      </xdr:nvSpPr>
      <xdr:spPr>
        <a:xfrm flipH="1">
          <a:off x="2190750" y="27822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166</xdr:row>
      <xdr:rowOff>152400</xdr:rowOff>
    </xdr:from>
    <xdr:to>
      <xdr:col>8</xdr:col>
      <xdr:colOff>0</xdr:colOff>
      <xdr:row>169</xdr:row>
      <xdr:rowOff>57150</xdr:rowOff>
    </xdr:to>
    <xdr:sp>
      <xdr:nvSpPr>
        <xdr:cNvPr id="369" name="Line 744"/>
        <xdr:cNvSpPr>
          <a:spLocks/>
        </xdr:cNvSpPr>
      </xdr:nvSpPr>
      <xdr:spPr>
        <a:xfrm flipV="1">
          <a:off x="3305175" y="278225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166</xdr:row>
      <xdr:rowOff>152400</xdr:rowOff>
    </xdr:from>
    <xdr:to>
      <xdr:col>8</xdr:col>
      <xdr:colOff>190500</xdr:colOff>
      <xdr:row>166</xdr:row>
      <xdr:rowOff>152400</xdr:rowOff>
    </xdr:to>
    <xdr:sp>
      <xdr:nvSpPr>
        <xdr:cNvPr id="370" name="Line 745"/>
        <xdr:cNvSpPr>
          <a:spLocks/>
        </xdr:cNvSpPr>
      </xdr:nvSpPr>
      <xdr:spPr>
        <a:xfrm>
          <a:off x="3305175" y="27822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5</xdr:col>
      <xdr:colOff>0</xdr:colOff>
      <xdr:row>158</xdr:row>
      <xdr:rowOff>104775</xdr:rowOff>
    </xdr:to>
    <xdr:sp>
      <xdr:nvSpPr>
        <xdr:cNvPr id="371" name="Line 746"/>
        <xdr:cNvSpPr>
          <a:spLocks/>
        </xdr:cNvSpPr>
      </xdr:nvSpPr>
      <xdr:spPr>
        <a:xfrm flipV="1">
          <a:off x="2076450" y="26069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114300</xdr:rowOff>
    </xdr:from>
    <xdr:to>
      <xdr:col>4</xdr:col>
      <xdr:colOff>0</xdr:colOff>
      <xdr:row>158</xdr:row>
      <xdr:rowOff>19050</xdr:rowOff>
    </xdr:to>
    <xdr:sp>
      <xdr:nvSpPr>
        <xdr:cNvPr id="372" name="Line 747"/>
        <xdr:cNvSpPr>
          <a:spLocks/>
        </xdr:cNvSpPr>
      </xdr:nvSpPr>
      <xdr:spPr>
        <a:xfrm flipV="1">
          <a:off x="1666875" y="26003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158</xdr:row>
      <xdr:rowOff>19050</xdr:rowOff>
    </xdr:from>
    <xdr:to>
      <xdr:col>3</xdr:col>
      <xdr:colOff>400050</xdr:colOff>
      <xdr:row>158</xdr:row>
      <xdr:rowOff>19050</xdr:rowOff>
    </xdr:to>
    <xdr:sp>
      <xdr:nvSpPr>
        <xdr:cNvPr id="373" name="Line 748"/>
        <xdr:cNvSpPr>
          <a:spLocks/>
        </xdr:cNvSpPr>
      </xdr:nvSpPr>
      <xdr:spPr>
        <a:xfrm flipH="1">
          <a:off x="1362075" y="26393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155</xdr:row>
      <xdr:rowOff>133350</xdr:rowOff>
    </xdr:from>
    <xdr:to>
      <xdr:col>6</xdr:col>
      <xdr:colOff>0</xdr:colOff>
      <xdr:row>158</xdr:row>
      <xdr:rowOff>0</xdr:rowOff>
    </xdr:to>
    <xdr:sp>
      <xdr:nvSpPr>
        <xdr:cNvPr id="374" name="Line 749"/>
        <xdr:cNvSpPr>
          <a:spLocks/>
        </xdr:cNvSpPr>
      </xdr:nvSpPr>
      <xdr:spPr>
        <a:xfrm flipV="1">
          <a:off x="2486025" y="260223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190500</xdr:colOff>
      <xdr:row>158</xdr:row>
      <xdr:rowOff>0</xdr:rowOff>
    </xdr:to>
    <xdr:sp>
      <xdr:nvSpPr>
        <xdr:cNvPr id="375" name="Line 750"/>
        <xdr:cNvSpPr>
          <a:spLocks/>
        </xdr:cNvSpPr>
      </xdr:nvSpPr>
      <xdr:spPr>
        <a:xfrm>
          <a:off x="2486025" y="26374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160</xdr:row>
      <xdr:rowOff>142875</xdr:rowOff>
    </xdr:from>
    <xdr:to>
      <xdr:col>9</xdr:col>
      <xdr:colOff>419100</xdr:colOff>
      <xdr:row>160</xdr:row>
      <xdr:rowOff>142875</xdr:rowOff>
    </xdr:to>
    <xdr:sp>
      <xdr:nvSpPr>
        <xdr:cNvPr id="376" name="Line 751"/>
        <xdr:cNvSpPr>
          <a:spLocks/>
        </xdr:cNvSpPr>
      </xdr:nvSpPr>
      <xdr:spPr>
        <a:xfrm>
          <a:off x="3419475" y="26841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161</xdr:row>
      <xdr:rowOff>142875</xdr:rowOff>
    </xdr:from>
    <xdr:to>
      <xdr:col>9</xdr:col>
      <xdr:colOff>419100</xdr:colOff>
      <xdr:row>161</xdr:row>
      <xdr:rowOff>142875</xdr:rowOff>
    </xdr:to>
    <xdr:sp>
      <xdr:nvSpPr>
        <xdr:cNvPr id="377" name="Line 752"/>
        <xdr:cNvSpPr>
          <a:spLocks/>
        </xdr:cNvSpPr>
      </xdr:nvSpPr>
      <xdr:spPr>
        <a:xfrm>
          <a:off x="3419475" y="270033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166</xdr:row>
      <xdr:rowOff>142875</xdr:rowOff>
    </xdr:from>
    <xdr:to>
      <xdr:col>5</xdr:col>
      <xdr:colOff>400050</xdr:colOff>
      <xdr:row>169</xdr:row>
      <xdr:rowOff>76200</xdr:rowOff>
    </xdr:to>
    <xdr:sp>
      <xdr:nvSpPr>
        <xdr:cNvPr id="378" name="Line 753"/>
        <xdr:cNvSpPr>
          <a:spLocks/>
        </xdr:cNvSpPr>
      </xdr:nvSpPr>
      <xdr:spPr>
        <a:xfrm flipV="1">
          <a:off x="2476500" y="278130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163</xdr:row>
      <xdr:rowOff>142875</xdr:rowOff>
    </xdr:from>
    <xdr:to>
      <xdr:col>3</xdr:col>
      <xdr:colOff>66675</xdr:colOff>
      <xdr:row>163</xdr:row>
      <xdr:rowOff>142875</xdr:rowOff>
    </xdr:to>
    <xdr:sp>
      <xdr:nvSpPr>
        <xdr:cNvPr id="379" name="Line 754"/>
        <xdr:cNvSpPr>
          <a:spLocks/>
        </xdr:cNvSpPr>
      </xdr:nvSpPr>
      <xdr:spPr>
        <a:xfrm>
          <a:off x="752475" y="27327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164</xdr:row>
      <xdr:rowOff>142875</xdr:rowOff>
    </xdr:from>
    <xdr:to>
      <xdr:col>3</xdr:col>
      <xdr:colOff>66675</xdr:colOff>
      <xdr:row>164</xdr:row>
      <xdr:rowOff>142875</xdr:rowOff>
    </xdr:to>
    <xdr:sp>
      <xdr:nvSpPr>
        <xdr:cNvPr id="380" name="Line 755"/>
        <xdr:cNvSpPr>
          <a:spLocks/>
        </xdr:cNvSpPr>
      </xdr:nvSpPr>
      <xdr:spPr>
        <a:xfrm>
          <a:off x="752475" y="27489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162</xdr:row>
      <xdr:rowOff>142875</xdr:rowOff>
    </xdr:from>
    <xdr:to>
      <xdr:col>14</xdr:col>
      <xdr:colOff>66675</xdr:colOff>
      <xdr:row>162</xdr:row>
      <xdr:rowOff>142875</xdr:rowOff>
    </xdr:to>
    <xdr:sp>
      <xdr:nvSpPr>
        <xdr:cNvPr id="381" name="Line 756"/>
        <xdr:cNvSpPr>
          <a:spLocks/>
        </xdr:cNvSpPr>
      </xdr:nvSpPr>
      <xdr:spPr>
        <a:xfrm>
          <a:off x="5467350" y="27165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161</xdr:row>
      <xdr:rowOff>104775</xdr:rowOff>
    </xdr:from>
    <xdr:to>
      <xdr:col>14</xdr:col>
      <xdr:colOff>66675</xdr:colOff>
      <xdr:row>162</xdr:row>
      <xdr:rowOff>142875</xdr:rowOff>
    </xdr:to>
    <xdr:sp>
      <xdr:nvSpPr>
        <xdr:cNvPr id="382" name="Line 757"/>
        <xdr:cNvSpPr>
          <a:spLocks/>
        </xdr:cNvSpPr>
      </xdr:nvSpPr>
      <xdr:spPr>
        <a:xfrm flipH="1" flipV="1">
          <a:off x="6029325" y="26965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163</xdr:row>
      <xdr:rowOff>142875</xdr:rowOff>
    </xdr:from>
    <xdr:to>
      <xdr:col>14</xdr:col>
      <xdr:colOff>152400</xdr:colOff>
      <xdr:row>163</xdr:row>
      <xdr:rowOff>142875</xdr:rowOff>
    </xdr:to>
    <xdr:sp>
      <xdr:nvSpPr>
        <xdr:cNvPr id="383" name="Line 758"/>
        <xdr:cNvSpPr>
          <a:spLocks/>
        </xdr:cNvSpPr>
      </xdr:nvSpPr>
      <xdr:spPr>
        <a:xfrm>
          <a:off x="5457825" y="273272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164</xdr:row>
      <xdr:rowOff>152400</xdr:rowOff>
    </xdr:from>
    <xdr:to>
      <xdr:col>14</xdr:col>
      <xdr:colOff>66675</xdr:colOff>
      <xdr:row>164</xdr:row>
      <xdr:rowOff>152400</xdr:rowOff>
    </xdr:to>
    <xdr:sp>
      <xdr:nvSpPr>
        <xdr:cNvPr id="384" name="Line 759"/>
        <xdr:cNvSpPr>
          <a:spLocks/>
        </xdr:cNvSpPr>
      </xdr:nvSpPr>
      <xdr:spPr>
        <a:xfrm>
          <a:off x="5467350" y="27498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164</xdr:row>
      <xdr:rowOff>152400</xdr:rowOff>
    </xdr:from>
    <xdr:to>
      <xdr:col>14</xdr:col>
      <xdr:colOff>66675</xdr:colOff>
      <xdr:row>166</xdr:row>
      <xdr:rowOff>19050</xdr:rowOff>
    </xdr:to>
    <xdr:sp>
      <xdr:nvSpPr>
        <xdr:cNvPr id="385" name="Line 760"/>
        <xdr:cNvSpPr>
          <a:spLocks/>
        </xdr:cNvSpPr>
      </xdr:nvSpPr>
      <xdr:spPr>
        <a:xfrm flipH="1">
          <a:off x="6029325" y="274986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159</xdr:row>
      <xdr:rowOff>142875</xdr:rowOff>
    </xdr:from>
    <xdr:to>
      <xdr:col>20</xdr:col>
      <xdr:colOff>419100</xdr:colOff>
      <xdr:row>159</xdr:row>
      <xdr:rowOff>142875</xdr:rowOff>
    </xdr:to>
    <xdr:sp>
      <xdr:nvSpPr>
        <xdr:cNvPr id="386" name="Line 761"/>
        <xdr:cNvSpPr>
          <a:spLocks/>
        </xdr:cNvSpPr>
      </xdr:nvSpPr>
      <xdr:spPr>
        <a:xfrm>
          <a:off x="8134350" y="26679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160</xdr:row>
      <xdr:rowOff>142875</xdr:rowOff>
    </xdr:from>
    <xdr:to>
      <xdr:col>21</xdr:col>
      <xdr:colOff>47625</xdr:colOff>
      <xdr:row>160</xdr:row>
      <xdr:rowOff>142875</xdr:rowOff>
    </xdr:to>
    <xdr:sp>
      <xdr:nvSpPr>
        <xdr:cNvPr id="387" name="Line 762"/>
        <xdr:cNvSpPr>
          <a:spLocks/>
        </xdr:cNvSpPr>
      </xdr:nvSpPr>
      <xdr:spPr>
        <a:xfrm>
          <a:off x="8020050" y="26841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161</xdr:row>
      <xdr:rowOff>152400</xdr:rowOff>
    </xdr:from>
    <xdr:to>
      <xdr:col>20</xdr:col>
      <xdr:colOff>419100</xdr:colOff>
      <xdr:row>161</xdr:row>
      <xdr:rowOff>152400</xdr:rowOff>
    </xdr:to>
    <xdr:sp>
      <xdr:nvSpPr>
        <xdr:cNvPr id="388" name="Line 763"/>
        <xdr:cNvSpPr>
          <a:spLocks/>
        </xdr:cNvSpPr>
      </xdr:nvSpPr>
      <xdr:spPr>
        <a:xfrm>
          <a:off x="8134350" y="27012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158</xdr:row>
      <xdr:rowOff>95250</xdr:rowOff>
    </xdr:from>
    <xdr:to>
      <xdr:col>19</xdr:col>
      <xdr:colOff>114300</xdr:colOff>
      <xdr:row>159</xdr:row>
      <xdr:rowOff>133350</xdr:rowOff>
    </xdr:to>
    <xdr:sp>
      <xdr:nvSpPr>
        <xdr:cNvPr id="389" name="Line 764"/>
        <xdr:cNvSpPr>
          <a:spLocks/>
        </xdr:cNvSpPr>
      </xdr:nvSpPr>
      <xdr:spPr>
        <a:xfrm flipH="1" flipV="1">
          <a:off x="8124825" y="26469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161</xdr:row>
      <xdr:rowOff>142875</xdr:rowOff>
    </xdr:from>
    <xdr:to>
      <xdr:col>19</xdr:col>
      <xdr:colOff>123825</xdr:colOff>
      <xdr:row>163</xdr:row>
      <xdr:rowOff>9525</xdr:rowOff>
    </xdr:to>
    <xdr:sp>
      <xdr:nvSpPr>
        <xdr:cNvPr id="390" name="Line 765"/>
        <xdr:cNvSpPr>
          <a:spLocks/>
        </xdr:cNvSpPr>
      </xdr:nvSpPr>
      <xdr:spPr>
        <a:xfrm flipH="1">
          <a:off x="8134350" y="270033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166</xdr:row>
      <xdr:rowOff>57150</xdr:rowOff>
    </xdr:from>
    <xdr:to>
      <xdr:col>18</xdr:col>
      <xdr:colOff>0</xdr:colOff>
      <xdr:row>169</xdr:row>
      <xdr:rowOff>28575</xdr:rowOff>
    </xdr:to>
    <xdr:sp>
      <xdr:nvSpPr>
        <xdr:cNvPr id="391" name="Line 766"/>
        <xdr:cNvSpPr>
          <a:spLocks/>
        </xdr:cNvSpPr>
      </xdr:nvSpPr>
      <xdr:spPr>
        <a:xfrm flipV="1">
          <a:off x="7610475" y="277272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166</xdr:row>
      <xdr:rowOff>152400</xdr:rowOff>
    </xdr:from>
    <xdr:to>
      <xdr:col>17</xdr:col>
      <xdr:colOff>0</xdr:colOff>
      <xdr:row>166</xdr:row>
      <xdr:rowOff>152400</xdr:rowOff>
    </xdr:to>
    <xdr:sp>
      <xdr:nvSpPr>
        <xdr:cNvPr id="392" name="Line 767"/>
        <xdr:cNvSpPr>
          <a:spLocks/>
        </xdr:cNvSpPr>
      </xdr:nvSpPr>
      <xdr:spPr>
        <a:xfrm flipH="1">
          <a:off x="6905625" y="27822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166</xdr:row>
      <xdr:rowOff>152400</xdr:rowOff>
    </xdr:from>
    <xdr:to>
      <xdr:col>19</xdr:col>
      <xdr:colOff>0</xdr:colOff>
      <xdr:row>169</xdr:row>
      <xdr:rowOff>57150</xdr:rowOff>
    </xdr:to>
    <xdr:sp>
      <xdr:nvSpPr>
        <xdr:cNvPr id="393" name="Line 768"/>
        <xdr:cNvSpPr>
          <a:spLocks/>
        </xdr:cNvSpPr>
      </xdr:nvSpPr>
      <xdr:spPr>
        <a:xfrm flipV="1">
          <a:off x="8020050" y="278225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166</xdr:row>
      <xdr:rowOff>152400</xdr:rowOff>
    </xdr:from>
    <xdr:to>
      <xdr:col>19</xdr:col>
      <xdr:colOff>190500</xdr:colOff>
      <xdr:row>166</xdr:row>
      <xdr:rowOff>152400</xdr:rowOff>
    </xdr:to>
    <xdr:sp>
      <xdr:nvSpPr>
        <xdr:cNvPr id="394" name="Line 769"/>
        <xdr:cNvSpPr>
          <a:spLocks/>
        </xdr:cNvSpPr>
      </xdr:nvSpPr>
      <xdr:spPr>
        <a:xfrm>
          <a:off x="8020050" y="27822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156</xdr:row>
      <xdr:rowOff>19050</xdr:rowOff>
    </xdr:from>
    <xdr:to>
      <xdr:col>16</xdr:col>
      <xdr:colOff>0</xdr:colOff>
      <xdr:row>158</xdr:row>
      <xdr:rowOff>104775</xdr:rowOff>
    </xdr:to>
    <xdr:sp>
      <xdr:nvSpPr>
        <xdr:cNvPr id="395" name="Line 770"/>
        <xdr:cNvSpPr>
          <a:spLocks/>
        </xdr:cNvSpPr>
      </xdr:nvSpPr>
      <xdr:spPr>
        <a:xfrm flipV="1">
          <a:off x="6791325" y="26069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155</xdr:row>
      <xdr:rowOff>114300</xdr:rowOff>
    </xdr:from>
    <xdr:to>
      <xdr:col>15</xdr:col>
      <xdr:colOff>0</xdr:colOff>
      <xdr:row>158</xdr:row>
      <xdr:rowOff>19050</xdr:rowOff>
    </xdr:to>
    <xdr:sp>
      <xdr:nvSpPr>
        <xdr:cNvPr id="396" name="Line 771"/>
        <xdr:cNvSpPr>
          <a:spLocks/>
        </xdr:cNvSpPr>
      </xdr:nvSpPr>
      <xdr:spPr>
        <a:xfrm flipV="1">
          <a:off x="6381750" y="26003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158</xdr:row>
      <xdr:rowOff>19050</xdr:rowOff>
    </xdr:from>
    <xdr:to>
      <xdr:col>14</xdr:col>
      <xdr:colOff>400050</xdr:colOff>
      <xdr:row>158</xdr:row>
      <xdr:rowOff>19050</xdr:rowOff>
    </xdr:to>
    <xdr:sp>
      <xdr:nvSpPr>
        <xdr:cNvPr id="397" name="Line 772"/>
        <xdr:cNvSpPr>
          <a:spLocks/>
        </xdr:cNvSpPr>
      </xdr:nvSpPr>
      <xdr:spPr>
        <a:xfrm flipH="1">
          <a:off x="6076950" y="26393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155</xdr:row>
      <xdr:rowOff>133350</xdr:rowOff>
    </xdr:from>
    <xdr:to>
      <xdr:col>17</xdr:col>
      <xdr:colOff>0</xdr:colOff>
      <xdr:row>158</xdr:row>
      <xdr:rowOff>0</xdr:rowOff>
    </xdr:to>
    <xdr:sp>
      <xdr:nvSpPr>
        <xdr:cNvPr id="398" name="Line 773"/>
        <xdr:cNvSpPr>
          <a:spLocks/>
        </xdr:cNvSpPr>
      </xdr:nvSpPr>
      <xdr:spPr>
        <a:xfrm flipV="1">
          <a:off x="7200900" y="260223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158</xdr:row>
      <xdr:rowOff>0</xdr:rowOff>
    </xdr:from>
    <xdr:to>
      <xdr:col>17</xdr:col>
      <xdr:colOff>190500</xdr:colOff>
      <xdr:row>158</xdr:row>
      <xdr:rowOff>0</xdr:rowOff>
    </xdr:to>
    <xdr:sp>
      <xdr:nvSpPr>
        <xdr:cNvPr id="399" name="Line 774"/>
        <xdr:cNvSpPr>
          <a:spLocks/>
        </xdr:cNvSpPr>
      </xdr:nvSpPr>
      <xdr:spPr>
        <a:xfrm>
          <a:off x="7200900" y="26374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160</xdr:row>
      <xdr:rowOff>142875</xdr:rowOff>
    </xdr:from>
    <xdr:to>
      <xdr:col>20</xdr:col>
      <xdr:colOff>419100</xdr:colOff>
      <xdr:row>160</xdr:row>
      <xdr:rowOff>142875</xdr:rowOff>
    </xdr:to>
    <xdr:sp>
      <xdr:nvSpPr>
        <xdr:cNvPr id="400" name="Line 775"/>
        <xdr:cNvSpPr>
          <a:spLocks/>
        </xdr:cNvSpPr>
      </xdr:nvSpPr>
      <xdr:spPr>
        <a:xfrm>
          <a:off x="8134350" y="26841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161</xdr:row>
      <xdr:rowOff>142875</xdr:rowOff>
    </xdr:from>
    <xdr:to>
      <xdr:col>20</xdr:col>
      <xdr:colOff>419100</xdr:colOff>
      <xdr:row>161</xdr:row>
      <xdr:rowOff>142875</xdr:rowOff>
    </xdr:to>
    <xdr:sp>
      <xdr:nvSpPr>
        <xdr:cNvPr id="401" name="Line 776"/>
        <xdr:cNvSpPr>
          <a:spLocks/>
        </xdr:cNvSpPr>
      </xdr:nvSpPr>
      <xdr:spPr>
        <a:xfrm>
          <a:off x="8134350" y="27003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166</xdr:row>
      <xdr:rowOff>142875</xdr:rowOff>
    </xdr:from>
    <xdr:to>
      <xdr:col>16</xdr:col>
      <xdr:colOff>400050</xdr:colOff>
      <xdr:row>169</xdr:row>
      <xdr:rowOff>76200</xdr:rowOff>
    </xdr:to>
    <xdr:sp>
      <xdr:nvSpPr>
        <xdr:cNvPr id="402" name="Line 777"/>
        <xdr:cNvSpPr>
          <a:spLocks/>
        </xdr:cNvSpPr>
      </xdr:nvSpPr>
      <xdr:spPr>
        <a:xfrm flipV="1">
          <a:off x="7191375" y="278130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163</xdr:row>
      <xdr:rowOff>142875</xdr:rowOff>
    </xdr:from>
    <xdr:to>
      <xdr:col>14</xdr:col>
      <xdr:colOff>66675</xdr:colOff>
      <xdr:row>163</xdr:row>
      <xdr:rowOff>142875</xdr:rowOff>
    </xdr:to>
    <xdr:sp>
      <xdr:nvSpPr>
        <xdr:cNvPr id="403" name="Line 778"/>
        <xdr:cNvSpPr>
          <a:spLocks/>
        </xdr:cNvSpPr>
      </xdr:nvSpPr>
      <xdr:spPr>
        <a:xfrm>
          <a:off x="5467350" y="27327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164</xdr:row>
      <xdr:rowOff>142875</xdr:rowOff>
    </xdr:from>
    <xdr:to>
      <xdr:col>14</xdr:col>
      <xdr:colOff>66675</xdr:colOff>
      <xdr:row>164</xdr:row>
      <xdr:rowOff>142875</xdr:rowOff>
    </xdr:to>
    <xdr:sp>
      <xdr:nvSpPr>
        <xdr:cNvPr id="404" name="Line 779"/>
        <xdr:cNvSpPr>
          <a:spLocks/>
        </xdr:cNvSpPr>
      </xdr:nvSpPr>
      <xdr:spPr>
        <a:xfrm>
          <a:off x="5467350" y="27489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8</xdr:row>
      <xdr:rowOff>95250</xdr:rowOff>
    </xdr:from>
    <xdr:to>
      <xdr:col>19</xdr:col>
      <xdr:colOff>114300</xdr:colOff>
      <xdr:row>9</xdr:row>
      <xdr:rowOff>133350</xdr:rowOff>
    </xdr:to>
    <xdr:sp>
      <xdr:nvSpPr>
        <xdr:cNvPr id="405" name="Line 780"/>
        <xdr:cNvSpPr>
          <a:spLocks/>
        </xdr:cNvSpPr>
      </xdr:nvSpPr>
      <xdr:spPr>
        <a:xfrm flipH="1" flipV="1">
          <a:off x="8124825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28</xdr:row>
      <xdr:rowOff>95250</xdr:rowOff>
    </xdr:from>
    <xdr:to>
      <xdr:col>19</xdr:col>
      <xdr:colOff>114300</xdr:colOff>
      <xdr:row>29</xdr:row>
      <xdr:rowOff>133350</xdr:rowOff>
    </xdr:to>
    <xdr:sp>
      <xdr:nvSpPr>
        <xdr:cNvPr id="406" name="Line 781"/>
        <xdr:cNvSpPr>
          <a:spLocks/>
        </xdr:cNvSpPr>
      </xdr:nvSpPr>
      <xdr:spPr>
        <a:xfrm flipH="1" flipV="1">
          <a:off x="8124825" y="48196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95250</xdr:rowOff>
    </xdr:from>
    <xdr:to>
      <xdr:col>8</xdr:col>
      <xdr:colOff>114300</xdr:colOff>
      <xdr:row>29</xdr:row>
      <xdr:rowOff>133350</xdr:rowOff>
    </xdr:to>
    <xdr:sp>
      <xdr:nvSpPr>
        <xdr:cNvPr id="407" name="Line 782"/>
        <xdr:cNvSpPr>
          <a:spLocks/>
        </xdr:cNvSpPr>
      </xdr:nvSpPr>
      <xdr:spPr>
        <a:xfrm flipH="1" flipV="1">
          <a:off x="3409950" y="48196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51</xdr:row>
      <xdr:rowOff>95250</xdr:rowOff>
    </xdr:from>
    <xdr:to>
      <xdr:col>19</xdr:col>
      <xdr:colOff>114300</xdr:colOff>
      <xdr:row>52</xdr:row>
      <xdr:rowOff>133350</xdr:rowOff>
    </xdr:to>
    <xdr:sp>
      <xdr:nvSpPr>
        <xdr:cNvPr id="408" name="Line 783"/>
        <xdr:cNvSpPr>
          <a:spLocks/>
        </xdr:cNvSpPr>
      </xdr:nvSpPr>
      <xdr:spPr>
        <a:xfrm flipH="1" flipV="1">
          <a:off x="8124825" y="8696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71</xdr:row>
      <xdr:rowOff>95250</xdr:rowOff>
    </xdr:from>
    <xdr:to>
      <xdr:col>19</xdr:col>
      <xdr:colOff>114300</xdr:colOff>
      <xdr:row>72</xdr:row>
      <xdr:rowOff>133350</xdr:rowOff>
    </xdr:to>
    <xdr:sp>
      <xdr:nvSpPr>
        <xdr:cNvPr id="409" name="Line 784"/>
        <xdr:cNvSpPr>
          <a:spLocks/>
        </xdr:cNvSpPr>
      </xdr:nvSpPr>
      <xdr:spPr>
        <a:xfrm flipH="1" flipV="1">
          <a:off x="8124825" y="11982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71</xdr:row>
      <xdr:rowOff>95250</xdr:rowOff>
    </xdr:from>
    <xdr:to>
      <xdr:col>8</xdr:col>
      <xdr:colOff>114300</xdr:colOff>
      <xdr:row>72</xdr:row>
      <xdr:rowOff>133350</xdr:rowOff>
    </xdr:to>
    <xdr:sp>
      <xdr:nvSpPr>
        <xdr:cNvPr id="410" name="Line 785"/>
        <xdr:cNvSpPr>
          <a:spLocks/>
        </xdr:cNvSpPr>
      </xdr:nvSpPr>
      <xdr:spPr>
        <a:xfrm flipH="1" flipV="1">
          <a:off x="3409950" y="11982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138</xdr:row>
      <xdr:rowOff>95250</xdr:rowOff>
    </xdr:from>
    <xdr:to>
      <xdr:col>19</xdr:col>
      <xdr:colOff>114300</xdr:colOff>
      <xdr:row>139</xdr:row>
      <xdr:rowOff>133350</xdr:rowOff>
    </xdr:to>
    <xdr:sp>
      <xdr:nvSpPr>
        <xdr:cNvPr id="411" name="Line 786"/>
        <xdr:cNvSpPr>
          <a:spLocks/>
        </xdr:cNvSpPr>
      </xdr:nvSpPr>
      <xdr:spPr>
        <a:xfrm flipH="1" flipV="1">
          <a:off x="8124825" y="231838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158</xdr:row>
      <xdr:rowOff>95250</xdr:rowOff>
    </xdr:from>
    <xdr:to>
      <xdr:col>19</xdr:col>
      <xdr:colOff>114300</xdr:colOff>
      <xdr:row>159</xdr:row>
      <xdr:rowOff>133350</xdr:rowOff>
    </xdr:to>
    <xdr:sp>
      <xdr:nvSpPr>
        <xdr:cNvPr id="412" name="Line 787"/>
        <xdr:cNvSpPr>
          <a:spLocks/>
        </xdr:cNvSpPr>
      </xdr:nvSpPr>
      <xdr:spPr>
        <a:xfrm flipH="1" flipV="1">
          <a:off x="8124825" y="26469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158</xdr:row>
      <xdr:rowOff>95250</xdr:rowOff>
    </xdr:from>
    <xdr:to>
      <xdr:col>8</xdr:col>
      <xdr:colOff>114300</xdr:colOff>
      <xdr:row>159</xdr:row>
      <xdr:rowOff>133350</xdr:rowOff>
    </xdr:to>
    <xdr:sp>
      <xdr:nvSpPr>
        <xdr:cNvPr id="413" name="Line 788"/>
        <xdr:cNvSpPr>
          <a:spLocks/>
        </xdr:cNvSpPr>
      </xdr:nvSpPr>
      <xdr:spPr>
        <a:xfrm flipH="1" flipV="1">
          <a:off x="3409950" y="26469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117</xdr:row>
      <xdr:rowOff>104775</xdr:rowOff>
    </xdr:from>
    <xdr:to>
      <xdr:col>17</xdr:col>
      <xdr:colOff>304800</xdr:colOff>
      <xdr:row>121</xdr:row>
      <xdr:rowOff>76200</xdr:rowOff>
    </xdr:to>
    <xdr:sp>
      <xdr:nvSpPr>
        <xdr:cNvPr id="414" name="AutoShape 789"/>
        <xdr:cNvSpPr>
          <a:spLocks/>
        </xdr:cNvSpPr>
      </xdr:nvSpPr>
      <xdr:spPr>
        <a:xfrm>
          <a:off x="6505575" y="19640550"/>
          <a:ext cx="1000125" cy="6191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117</xdr:row>
      <xdr:rowOff>104775</xdr:rowOff>
    </xdr:from>
    <xdr:to>
      <xdr:col>6</xdr:col>
      <xdr:colOff>304800</xdr:colOff>
      <xdr:row>121</xdr:row>
      <xdr:rowOff>76200</xdr:rowOff>
    </xdr:to>
    <xdr:sp>
      <xdr:nvSpPr>
        <xdr:cNvPr id="415" name="AutoShape 790"/>
        <xdr:cNvSpPr>
          <a:spLocks/>
        </xdr:cNvSpPr>
      </xdr:nvSpPr>
      <xdr:spPr>
        <a:xfrm>
          <a:off x="1790700" y="19640550"/>
          <a:ext cx="1000125" cy="61912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124</xdr:row>
      <xdr:rowOff>142875</xdr:rowOff>
    </xdr:from>
    <xdr:to>
      <xdr:col>17</xdr:col>
      <xdr:colOff>342900</xdr:colOff>
      <xdr:row>128</xdr:row>
      <xdr:rowOff>57150</xdr:rowOff>
    </xdr:to>
    <xdr:sp>
      <xdr:nvSpPr>
        <xdr:cNvPr id="416" name="AutoShape 791"/>
        <xdr:cNvSpPr>
          <a:spLocks/>
        </xdr:cNvSpPr>
      </xdr:nvSpPr>
      <xdr:spPr>
        <a:xfrm>
          <a:off x="6467475" y="20812125"/>
          <a:ext cx="1076325" cy="56197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124</xdr:row>
      <xdr:rowOff>142875</xdr:rowOff>
    </xdr:from>
    <xdr:to>
      <xdr:col>6</xdr:col>
      <xdr:colOff>342900</xdr:colOff>
      <xdr:row>128</xdr:row>
      <xdr:rowOff>57150</xdr:rowOff>
    </xdr:to>
    <xdr:sp>
      <xdr:nvSpPr>
        <xdr:cNvPr id="417" name="AutoShape 792"/>
        <xdr:cNvSpPr>
          <a:spLocks/>
        </xdr:cNvSpPr>
      </xdr:nvSpPr>
      <xdr:spPr>
        <a:xfrm>
          <a:off x="1752600" y="20812125"/>
          <a:ext cx="1076325" cy="561975"/>
        </a:xfrm>
        <a:prstGeom prst="up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159</xdr:row>
      <xdr:rowOff>142875</xdr:rowOff>
    </xdr:from>
    <xdr:to>
      <xdr:col>9</xdr:col>
      <xdr:colOff>419100</xdr:colOff>
      <xdr:row>159</xdr:row>
      <xdr:rowOff>142875</xdr:rowOff>
    </xdr:to>
    <xdr:sp>
      <xdr:nvSpPr>
        <xdr:cNvPr id="418" name="Line 793"/>
        <xdr:cNvSpPr>
          <a:spLocks/>
        </xdr:cNvSpPr>
      </xdr:nvSpPr>
      <xdr:spPr>
        <a:xfrm>
          <a:off x="3419475" y="266795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161</xdr:row>
      <xdr:rowOff>152400</xdr:rowOff>
    </xdr:from>
    <xdr:to>
      <xdr:col>9</xdr:col>
      <xdr:colOff>419100</xdr:colOff>
      <xdr:row>161</xdr:row>
      <xdr:rowOff>152400</xdr:rowOff>
    </xdr:to>
    <xdr:sp>
      <xdr:nvSpPr>
        <xdr:cNvPr id="419" name="Line 794"/>
        <xdr:cNvSpPr>
          <a:spLocks/>
        </xdr:cNvSpPr>
      </xdr:nvSpPr>
      <xdr:spPr>
        <a:xfrm>
          <a:off x="3419475" y="27012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158</xdr:row>
      <xdr:rowOff>95250</xdr:rowOff>
    </xdr:from>
    <xdr:to>
      <xdr:col>8</xdr:col>
      <xdr:colOff>114300</xdr:colOff>
      <xdr:row>159</xdr:row>
      <xdr:rowOff>133350</xdr:rowOff>
    </xdr:to>
    <xdr:sp>
      <xdr:nvSpPr>
        <xdr:cNvPr id="420" name="Line 795"/>
        <xdr:cNvSpPr>
          <a:spLocks/>
        </xdr:cNvSpPr>
      </xdr:nvSpPr>
      <xdr:spPr>
        <a:xfrm flipH="1" flipV="1">
          <a:off x="3409950" y="26469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160</xdr:row>
      <xdr:rowOff>142875</xdr:rowOff>
    </xdr:from>
    <xdr:to>
      <xdr:col>9</xdr:col>
      <xdr:colOff>419100</xdr:colOff>
      <xdr:row>160</xdr:row>
      <xdr:rowOff>142875</xdr:rowOff>
    </xdr:to>
    <xdr:sp>
      <xdr:nvSpPr>
        <xdr:cNvPr id="421" name="Line 796"/>
        <xdr:cNvSpPr>
          <a:spLocks/>
        </xdr:cNvSpPr>
      </xdr:nvSpPr>
      <xdr:spPr>
        <a:xfrm>
          <a:off x="3419475" y="26841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161</xdr:row>
      <xdr:rowOff>142875</xdr:rowOff>
    </xdr:from>
    <xdr:to>
      <xdr:col>9</xdr:col>
      <xdr:colOff>419100</xdr:colOff>
      <xdr:row>161</xdr:row>
      <xdr:rowOff>142875</xdr:rowOff>
    </xdr:to>
    <xdr:sp>
      <xdr:nvSpPr>
        <xdr:cNvPr id="422" name="Line 797"/>
        <xdr:cNvSpPr>
          <a:spLocks/>
        </xdr:cNvSpPr>
      </xdr:nvSpPr>
      <xdr:spPr>
        <a:xfrm>
          <a:off x="3419475" y="270033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159</xdr:row>
      <xdr:rowOff>142875</xdr:rowOff>
    </xdr:from>
    <xdr:to>
      <xdr:col>20</xdr:col>
      <xdr:colOff>419100</xdr:colOff>
      <xdr:row>159</xdr:row>
      <xdr:rowOff>142875</xdr:rowOff>
    </xdr:to>
    <xdr:sp>
      <xdr:nvSpPr>
        <xdr:cNvPr id="423" name="Line 798"/>
        <xdr:cNvSpPr>
          <a:spLocks/>
        </xdr:cNvSpPr>
      </xdr:nvSpPr>
      <xdr:spPr>
        <a:xfrm>
          <a:off x="8134350" y="26679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161</xdr:row>
      <xdr:rowOff>152400</xdr:rowOff>
    </xdr:from>
    <xdr:to>
      <xdr:col>20</xdr:col>
      <xdr:colOff>419100</xdr:colOff>
      <xdr:row>161</xdr:row>
      <xdr:rowOff>152400</xdr:rowOff>
    </xdr:to>
    <xdr:sp>
      <xdr:nvSpPr>
        <xdr:cNvPr id="424" name="Line 799"/>
        <xdr:cNvSpPr>
          <a:spLocks/>
        </xdr:cNvSpPr>
      </xdr:nvSpPr>
      <xdr:spPr>
        <a:xfrm>
          <a:off x="8134350" y="27012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158</xdr:row>
      <xdr:rowOff>95250</xdr:rowOff>
    </xdr:from>
    <xdr:to>
      <xdr:col>19</xdr:col>
      <xdr:colOff>114300</xdr:colOff>
      <xdr:row>159</xdr:row>
      <xdr:rowOff>133350</xdr:rowOff>
    </xdr:to>
    <xdr:sp>
      <xdr:nvSpPr>
        <xdr:cNvPr id="425" name="Line 800"/>
        <xdr:cNvSpPr>
          <a:spLocks/>
        </xdr:cNvSpPr>
      </xdr:nvSpPr>
      <xdr:spPr>
        <a:xfrm flipH="1" flipV="1">
          <a:off x="8124825" y="26469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160</xdr:row>
      <xdr:rowOff>142875</xdr:rowOff>
    </xdr:from>
    <xdr:to>
      <xdr:col>20</xdr:col>
      <xdr:colOff>419100</xdr:colOff>
      <xdr:row>160</xdr:row>
      <xdr:rowOff>142875</xdr:rowOff>
    </xdr:to>
    <xdr:sp>
      <xdr:nvSpPr>
        <xdr:cNvPr id="426" name="Line 801"/>
        <xdr:cNvSpPr>
          <a:spLocks/>
        </xdr:cNvSpPr>
      </xdr:nvSpPr>
      <xdr:spPr>
        <a:xfrm>
          <a:off x="8134350" y="26841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161</xdr:row>
      <xdr:rowOff>142875</xdr:rowOff>
    </xdr:from>
    <xdr:to>
      <xdr:col>20</xdr:col>
      <xdr:colOff>419100</xdr:colOff>
      <xdr:row>161</xdr:row>
      <xdr:rowOff>142875</xdr:rowOff>
    </xdr:to>
    <xdr:sp>
      <xdr:nvSpPr>
        <xdr:cNvPr id="427" name="Line 802"/>
        <xdr:cNvSpPr>
          <a:spLocks/>
        </xdr:cNvSpPr>
      </xdr:nvSpPr>
      <xdr:spPr>
        <a:xfrm>
          <a:off x="8134350" y="27003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139</xdr:row>
      <xdr:rowOff>142875</xdr:rowOff>
    </xdr:from>
    <xdr:to>
      <xdr:col>20</xdr:col>
      <xdr:colOff>419100</xdr:colOff>
      <xdr:row>139</xdr:row>
      <xdr:rowOff>142875</xdr:rowOff>
    </xdr:to>
    <xdr:sp>
      <xdr:nvSpPr>
        <xdr:cNvPr id="428" name="Line 808"/>
        <xdr:cNvSpPr>
          <a:spLocks/>
        </xdr:cNvSpPr>
      </xdr:nvSpPr>
      <xdr:spPr>
        <a:xfrm>
          <a:off x="8134350" y="23393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141</xdr:row>
      <xdr:rowOff>152400</xdr:rowOff>
    </xdr:from>
    <xdr:to>
      <xdr:col>20</xdr:col>
      <xdr:colOff>419100</xdr:colOff>
      <xdr:row>141</xdr:row>
      <xdr:rowOff>152400</xdr:rowOff>
    </xdr:to>
    <xdr:sp>
      <xdr:nvSpPr>
        <xdr:cNvPr id="429" name="Line 809"/>
        <xdr:cNvSpPr>
          <a:spLocks/>
        </xdr:cNvSpPr>
      </xdr:nvSpPr>
      <xdr:spPr>
        <a:xfrm>
          <a:off x="8134350" y="23726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138</xdr:row>
      <xdr:rowOff>95250</xdr:rowOff>
    </xdr:from>
    <xdr:to>
      <xdr:col>19</xdr:col>
      <xdr:colOff>114300</xdr:colOff>
      <xdr:row>139</xdr:row>
      <xdr:rowOff>133350</xdr:rowOff>
    </xdr:to>
    <xdr:sp>
      <xdr:nvSpPr>
        <xdr:cNvPr id="430" name="Line 810"/>
        <xdr:cNvSpPr>
          <a:spLocks/>
        </xdr:cNvSpPr>
      </xdr:nvSpPr>
      <xdr:spPr>
        <a:xfrm flipH="1" flipV="1">
          <a:off x="8124825" y="231838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140</xdr:row>
      <xdr:rowOff>142875</xdr:rowOff>
    </xdr:from>
    <xdr:to>
      <xdr:col>20</xdr:col>
      <xdr:colOff>419100</xdr:colOff>
      <xdr:row>140</xdr:row>
      <xdr:rowOff>142875</xdr:rowOff>
    </xdr:to>
    <xdr:sp>
      <xdr:nvSpPr>
        <xdr:cNvPr id="431" name="Line 811"/>
        <xdr:cNvSpPr>
          <a:spLocks/>
        </xdr:cNvSpPr>
      </xdr:nvSpPr>
      <xdr:spPr>
        <a:xfrm>
          <a:off x="8134350" y="235553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141</xdr:row>
      <xdr:rowOff>142875</xdr:rowOff>
    </xdr:from>
    <xdr:to>
      <xdr:col>20</xdr:col>
      <xdr:colOff>419100</xdr:colOff>
      <xdr:row>141</xdr:row>
      <xdr:rowOff>142875</xdr:rowOff>
    </xdr:to>
    <xdr:sp>
      <xdr:nvSpPr>
        <xdr:cNvPr id="432" name="Line 812"/>
        <xdr:cNvSpPr>
          <a:spLocks/>
        </xdr:cNvSpPr>
      </xdr:nvSpPr>
      <xdr:spPr>
        <a:xfrm>
          <a:off x="8134350" y="237172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1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6" max="6" width="3.421875" style="0" customWidth="1"/>
  </cols>
  <sheetData>
    <row r="1" spans="1:10" ht="18.75">
      <c r="A1" s="191" t="s">
        <v>178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3.5" thickBo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2:9" ht="12.75">
      <c r="B3" s="183"/>
      <c r="C3" s="184"/>
      <c r="D3" s="184"/>
      <c r="E3" s="184"/>
      <c r="F3" s="184"/>
      <c r="G3" s="184"/>
      <c r="H3" s="184"/>
      <c r="I3" s="185"/>
    </row>
    <row r="4" spans="2:9" ht="12.75">
      <c r="B4" s="186"/>
      <c r="C4" s="156"/>
      <c r="D4" s="156"/>
      <c r="E4" s="156"/>
      <c r="F4" s="156"/>
      <c r="G4" s="156"/>
      <c r="H4" s="156"/>
      <c r="I4" s="187"/>
    </row>
    <row r="5" spans="2:9" ht="12.75">
      <c r="B5" s="186"/>
      <c r="C5" s="156"/>
      <c r="D5" s="156"/>
      <c r="E5" s="156"/>
      <c r="F5" s="156"/>
      <c r="G5" s="156"/>
      <c r="H5" s="156"/>
      <c r="I5" s="187"/>
    </row>
    <row r="6" spans="2:9" ht="12.75">
      <c r="B6" s="186"/>
      <c r="C6" s="156"/>
      <c r="D6" s="156"/>
      <c r="E6" s="156"/>
      <c r="F6" s="156"/>
      <c r="G6" s="156"/>
      <c r="H6" s="156"/>
      <c r="I6" s="187"/>
    </row>
    <row r="7" spans="2:9" ht="12.75">
      <c r="B7" s="186"/>
      <c r="C7" s="156"/>
      <c r="D7" s="156"/>
      <c r="E7" s="156"/>
      <c r="F7" s="156"/>
      <c r="G7" s="156"/>
      <c r="H7" s="156"/>
      <c r="I7" s="187"/>
    </row>
    <row r="8" spans="2:9" ht="12.75">
      <c r="B8" s="186"/>
      <c r="C8" s="156"/>
      <c r="D8" s="156"/>
      <c r="E8" s="156"/>
      <c r="F8" s="156"/>
      <c r="G8" s="156"/>
      <c r="H8" s="156"/>
      <c r="I8" s="187"/>
    </row>
    <row r="9" spans="2:9" ht="12.75">
      <c r="B9" s="186"/>
      <c r="C9" s="156"/>
      <c r="D9" s="156"/>
      <c r="E9" s="156"/>
      <c r="F9" s="156"/>
      <c r="G9" s="156"/>
      <c r="H9" s="156"/>
      <c r="I9" s="187"/>
    </row>
    <row r="10" spans="2:9" ht="12.75">
      <c r="B10" s="186"/>
      <c r="C10" s="156"/>
      <c r="D10" s="156"/>
      <c r="E10" s="156"/>
      <c r="F10" s="156"/>
      <c r="G10" s="156"/>
      <c r="H10" s="156"/>
      <c r="I10" s="187"/>
    </row>
    <row r="11" spans="2:9" ht="12.75">
      <c r="B11" s="186"/>
      <c r="C11" s="156"/>
      <c r="D11" s="156"/>
      <c r="E11" s="156"/>
      <c r="F11" s="156"/>
      <c r="G11" s="156"/>
      <c r="H11" s="156"/>
      <c r="I11" s="187"/>
    </row>
    <row r="12" spans="2:9" ht="12.75">
      <c r="B12" s="186"/>
      <c r="C12" s="156"/>
      <c r="D12" s="156"/>
      <c r="E12" s="156"/>
      <c r="F12" s="156"/>
      <c r="G12" s="156"/>
      <c r="H12" s="156"/>
      <c r="I12" s="187"/>
    </row>
    <row r="13" spans="2:9" ht="12.75">
      <c r="B13" s="186"/>
      <c r="C13" s="156"/>
      <c r="D13" s="156"/>
      <c r="E13" s="156"/>
      <c r="F13" s="156"/>
      <c r="G13" s="156"/>
      <c r="H13" s="156"/>
      <c r="I13" s="187"/>
    </row>
    <row r="14" spans="2:9" ht="12.75">
      <c r="B14" s="186"/>
      <c r="C14" s="156"/>
      <c r="D14" s="156"/>
      <c r="E14" s="156"/>
      <c r="F14" s="156"/>
      <c r="G14" s="156"/>
      <c r="H14" s="156"/>
      <c r="I14" s="187"/>
    </row>
    <row r="15" spans="2:9" ht="12.75">
      <c r="B15" s="186"/>
      <c r="C15" s="156"/>
      <c r="D15" s="156"/>
      <c r="E15" s="156"/>
      <c r="F15" s="156"/>
      <c r="G15" s="156"/>
      <c r="H15" s="156"/>
      <c r="I15" s="187"/>
    </row>
    <row r="16" spans="2:9" ht="12.75">
      <c r="B16" s="186"/>
      <c r="C16" s="156"/>
      <c r="D16" s="156"/>
      <c r="E16" s="156"/>
      <c r="F16" s="156"/>
      <c r="G16" s="156"/>
      <c r="H16" s="156"/>
      <c r="I16" s="187"/>
    </row>
    <row r="17" spans="2:9" ht="12.75">
      <c r="B17" s="186"/>
      <c r="C17" s="156"/>
      <c r="D17" s="156"/>
      <c r="E17" s="156"/>
      <c r="F17" s="156"/>
      <c r="G17" s="156"/>
      <c r="H17" s="156"/>
      <c r="I17" s="187"/>
    </row>
    <row r="18" spans="2:9" ht="12.75">
      <c r="B18" s="186"/>
      <c r="C18" s="156"/>
      <c r="D18" s="156"/>
      <c r="E18" s="156"/>
      <c r="F18" s="156"/>
      <c r="G18" s="156"/>
      <c r="H18" s="156"/>
      <c r="I18" s="187"/>
    </row>
    <row r="19" spans="2:9" ht="12.75">
      <c r="B19" s="186"/>
      <c r="C19" s="156"/>
      <c r="D19" s="156"/>
      <c r="E19" s="156"/>
      <c r="F19" s="156"/>
      <c r="G19" s="156"/>
      <c r="H19" s="156"/>
      <c r="I19" s="187"/>
    </row>
    <row r="20" spans="2:9" ht="12.75">
      <c r="B20" s="186"/>
      <c r="C20" s="156"/>
      <c r="D20" s="156"/>
      <c r="E20" s="156"/>
      <c r="F20" s="156"/>
      <c r="G20" s="156"/>
      <c r="H20" s="156"/>
      <c r="I20" s="187"/>
    </row>
    <row r="21" spans="2:9" ht="12.75">
      <c r="B21" s="186"/>
      <c r="C21" s="156"/>
      <c r="D21" s="156"/>
      <c r="E21" s="156"/>
      <c r="F21" s="156"/>
      <c r="G21" s="156"/>
      <c r="H21" s="156"/>
      <c r="I21" s="187"/>
    </row>
    <row r="22" spans="2:9" ht="12.75">
      <c r="B22" s="186"/>
      <c r="C22" s="156"/>
      <c r="D22" s="156"/>
      <c r="E22" s="156"/>
      <c r="F22" s="156"/>
      <c r="G22" s="156"/>
      <c r="H22" s="156"/>
      <c r="I22" s="187"/>
    </row>
    <row r="23" spans="2:9" ht="12.75">
      <c r="B23" s="186"/>
      <c r="C23" s="156"/>
      <c r="D23" s="156"/>
      <c r="E23" s="156"/>
      <c r="F23" s="156"/>
      <c r="G23" s="156"/>
      <c r="H23" s="156"/>
      <c r="I23" s="187"/>
    </row>
    <row r="24" spans="2:9" ht="13.5" thickBot="1">
      <c r="B24" s="188"/>
      <c r="C24" s="189"/>
      <c r="D24" s="189"/>
      <c r="E24" s="189"/>
      <c r="F24" s="189"/>
      <c r="G24" s="189"/>
      <c r="H24" s="189"/>
      <c r="I24" s="190"/>
    </row>
    <row r="26" ht="12.75">
      <c r="B26" s="13" t="s">
        <v>2</v>
      </c>
    </row>
    <row r="27" spans="2:3" ht="12.75">
      <c r="B27" s="12" t="s">
        <v>3</v>
      </c>
      <c r="C27" s="11"/>
    </row>
    <row r="28" spans="2:3" ht="12.75">
      <c r="B28" s="12" t="s">
        <v>168</v>
      </c>
      <c r="C28" s="11"/>
    </row>
    <row r="29" spans="2:3" ht="12.75">
      <c r="B29" s="12" t="s">
        <v>4</v>
      </c>
      <c r="C29" s="11"/>
    </row>
    <row r="30" spans="2:3" ht="12.75">
      <c r="B30" s="12"/>
      <c r="C30" s="11"/>
    </row>
    <row r="31" spans="2:3" ht="12.75">
      <c r="B31" s="12"/>
      <c r="C31" s="12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121"/>
  <sheetViews>
    <sheetView showGridLines="0" zoomScalePageLayoutView="0" workbookViewId="0" topLeftCell="A1">
      <selection activeCell="C6" sqref="C6:E6"/>
    </sheetView>
  </sheetViews>
  <sheetFormatPr defaultColWidth="9.140625" defaultRowHeight="12.75"/>
  <cols>
    <col min="1" max="2" width="11.57421875" style="0" customWidth="1"/>
    <col min="3" max="3" width="12.7109375" style="0" customWidth="1"/>
    <col min="4" max="5" width="11.57421875" style="0" customWidth="1"/>
    <col min="6" max="6" width="19.57421875" style="0" customWidth="1"/>
    <col min="7" max="7" width="17.57421875" style="0" customWidth="1"/>
    <col min="8" max="8" width="8.8515625" style="0" customWidth="1"/>
    <col min="9" max="10" width="11.8515625" style="0" customWidth="1"/>
    <col min="11" max="11" width="12.28125" style="0" bestFit="1" customWidth="1"/>
    <col min="12" max="12" width="11.8515625" style="0" customWidth="1"/>
    <col min="13" max="13" width="16.57421875" style="0" customWidth="1"/>
    <col min="14" max="14" width="11.8515625" style="0" customWidth="1"/>
  </cols>
  <sheetData>
    <row r="1" spans="1:9" ht="18.75">
      <c r="A1" s="206" t="s">
        <v>179</v>
      </c>
      <c r="B1" s="206"/>
      <c r="C1" s="206"/>
      <c r="D1" s="206"/>
      <c r="E1" s="206"/>
      <c r="F1" s="206"/>
      <c r="G1" s="206"/>
      <c r="H1" s="4"/>
      <c r="I1" s="4"/>
    </row>
    <row r="2" ht="6" customHeight="1"/>
    <row r="3" ht="6" customHeight="1">
      <c r="C3" s="162"/>
    </row>
    <row r="4" spans="2:5" ht="12.75">
      <c r="B4" s="14" t="s">
        <v>8</v>
      </c>
      <c r="C4" s="196"/>
      <c r="D4" s="197"/>
      <c r="E4" s="198"/>
    </row>
    <row r="5" spans="2:3" ht="12.75">
      <c r="B5" s="14" t="s">
        <v>11</v>
      </c>
      <c r="C5" s="17">
        <f ca="1">NOW()</f>
        <v>39876.365922916666</v>
      </c>
    </row>
    <row r="6" spans="2:5" ht="12.75">
      <c r="B6" s="14" t="s">
        <v>9</v>
      </c>
      <c r="C6" s="196"/>
      <c r="D6" s="197"/>
      <c r="E6" s="198"/>
    </row>
    <row r="7" spans="2:5" ht="12.75">
      <c r="B7" s="14" t="s">
        <v>10</v>
      </c>
      <c r="C7" s="196"/>
      <c r="D7" s="197"/>
      <c r="E7" s="198"/>
    </row>
    <row r="8" spans="2:5" ht="12.75">
      <c r="B8" s="14" t="s">
        <v>5</v>
      </c>
      <c r="C8" s="196"/>
      <c r="D8" s="197"/>
      <c r="E8" s="198"/>
    </row>
    <row r="9" spans="2:5" ht="12.75">
      <c r="B9" s="14" t="s">
        <v>6</v>
      </c>
      <c r="C9" s="196"/>
      <c r="D9" s="197"/>
      <c r="E9" s="198"/>
    </row>
    <row r="10" spans="2:5" ht="12.75">
      <c r="B10" s="14" t="s">
        <v>7</v>
      </c>
      <c r="C10" s="196"/>
      <c r="D10" s="197"/>
      <c r="E10" s="198"/>
    </row>
    <row r="12" spans="1:3" ht="12.75">
      <c r="A12" s="194" t="s">
        <v>175</v>
      </c>
      <c r="B12" s="194"/>
      <c r="C12" s="18"/>
    </row>
    <row r="13" spans="1:4" ht="12.75">
      <c r="A13" s="194" t="s">
        <v>176</v>
      </c>
      <c r="B13" s="194"/>
      <c r="D13" s="18"/>
    </row>
    <row r="15" spans="2:6" ht="12.75">
      <c r="B15" s="14" t="s">
        <v>12</v>
      </c>
      <c r="C15" s="4" t="s">
        <v>15</v>
      </c>
      <c r="E15" s="1" t="s">
        <v>13</v>
      </c>
      <c r="F15" s="169" t="s">
        <v>15</v>
      </c>
    </row>
    <row r="16" spans="3:7" ht="12.75">
      <c r="C16" s="158">
        <v>0.07</v>
      </c>
      <c r="F16" s="157">
        <v>0.5</v>
      </c>
      <c r="G16" t="str">
        <f>IF(Data!B1="yes","Northbound (NB)","Westbound (WB)")</f>
        <v>Northbound (NB)</v>
      </c>
    </row>
    <row r="17" spans="3:7" ht="12.75">
      <c r="C17" s="4" t="s">
        <v>14</v>
      </c>
      <c r="F17" s="49">
        <f>1-F16</f>
        <v>0.5</v>
      </c>
      <c r="G17" t="str">
        <f>IF(Data!B1="yes","Southbound (SB)","Eastbound (EB)")</f>
        <v>Southbound (SB)</v>
      </c>
    </row>
    <row r="18" spans="3:6" ht="12.75">
      <c r="C18" s="158">
        <v>0.07</v>
      </c>
      <c r="F18" s="170" t="s">
        <v>14</v>
      </c>
    </row>
    <row r="19" spans="6:7" ht="12.75">
      <c r="F19" s="157">
        <v>0.5</v>
      </c>
      <c r="G19" t="str">
        <f>IF(Data!B1="no","Northbound (NB)","Westbound (WB)")</f>
        <v>Westbound (WB)</v>
      </c>
    </row>
    <row r="20" spans="6:7" ht="12.75">
      <c r="F20" s="182">
        <v>0.5</v>
      </c>
      <c r="G20" t="str">
        <f>IF(Data!B1="no","Southbound (SB)","Eastbound (EB)")</f>
        <v>Eastbound (EB)</v>
      </c>
    </row>
    <row r="22" ht="12.75">
      <c r="I22" s="1" t="s">
        <v>99</v>
      </c>
    </row>
    <row r="23" spans="1:13" ht="12.75">
      <c r="A23" s="1" t="s">
        <v>174</v>
      </c>
      <c r="J23" s="23" t="s">
        <v>27</v>
      </c>
      <c r="K23" s="23" t="s">
        <v>28</v>
      </c>
      <c r="L23" s="23" t="s">
        <v>29</v>
      </c>
      <c r="M23" s="23" t="s">
        <v>30</v>
      </c>
    </row>
    <row r="24" spans="2:14" ht="12.75">
      <c r="B24" s="1" t="s">
        <v>17</v>
      </c>
      <c r="I24" s="27" t="s">
        <v>0</v>
      </c>
      <c r="J24" s="26" t="s">
        <v>31</v>
      </c>
      <c r="K24" s="26" t="s">
        <v>32</v>
      </c>
      <c r="L24" s="26" t="s">
        <v>33</v>
      </c>
      <c r="M24" s="26" t="s">
        <v>34</v>
      </c>
      <c r="N24" s="29" t="s">
        <v>35</v>
      </c>
    </row>
    <row r="25" spans="9:14" ht="12.75">
      <c r="I25" s="28">
        <f>IF(Data!$B$2="yes",I56,I42)</f>
        <v>0</v>
      </c>
      <c r="J25" s="24">
        <f>IF(J29=1,IF(Data!$B$2="yes",ROUND(J56/2,0),ROUND(J42/2,0)),IF(J29=2,IF(Data!$B$2="yes",ROUND(J83/2,0),ROUND(J69/2,0)),IF(Data!$B$2="yes",ROUND(J110/2,0),ROUND(J96/2,0))))</f>
        <v>0</v>
      </c>
      <c r="K25" s="24">
        <f>IF(K29=1,IF(Data!$B$2="yes",ROUND(K56/2,0),ROUND(K42/2,0)),IF(K29=2,IF(Data!$B$2="yes",ROUND(K83/2,0),ROUND(K69/2,0)),IF(Data!$B$2="yes",ROUND(K110/2,0),ROUND(K96/2,0))))</f>
        <v>0</v>
      </c>
      <c r="L25" s="24">
        <f>IF(L29=1,IF(Data!$B$2="yes",ROUND(L56/2,0),ROUND(L42/2,0)),IF(L29=2,IF(Data!$B$2="yes",ROUND(L83/2,0),ROUND(L69/2,0)),IF(Data!$B$2="yes",ROUND(L110/2,0),ROUND(L96/2,0))))</f>
        <v>0</v>
      </c>
      <c r="M25" s="24">
        <f>IF(M29=1,IF(Data!$B$2="yes",ROUND(M56/2,0),ROUND(M42/2,0)),IF(M29=2,IF(Data!$B$2="yes",ROUND(M83/2,0),ROUND(M69/2,0)),IF(Data!$B$2="yes",ROUND(M110/2,0),ROUND(M96/2,0))))</f>
        <v>0</v>
      </c>
      <c r="N25" s="30">
        <f>SUM(J25:M25)</f>
        <v>0</v>
      </c>
    </row>
    <row r="26" spans="5:14" ht="12.75">
      <c r="E26" s="19" t="s">
        <v>38</v>
      </c>
      <c r="G26" s="19" t="s">
        <v>37</v>
      </c>
      <c r="I26" s="28">
        <f>IF(Data!$B$2="yes",I57,I43)</f>
        <v>0</v>
      </c>
      <c r="J26" s="4" t="e">
        <f>IF(J29=1,IF(Data!$B$2="yes",ROUND(J57/2,0),ROUND(J43/2,0)),IF(J29=2,IF(Data!$B$2="yes",ROUND(#REF!/2,0),ROUND(J70/2,0)),IF(Data!$B$2="yes",ROUND(J111/2,0),ROUND(J97/2,0))))</f>
        <v>#DIV/0!</v>
      </c>
      <c r="K26" s="4" t="e">
        <f>IF(K29=1,IF(Data!$B$2="yes",ROUND(K57/2,0),ROUND(K43/2,0)),IF(K29=2,IF(Data!$B$2="yes",ROUND(K84/2,0),ROUND(K70/2,0)),IF(Data!$B$2="yes",ROUND(K111/2,0),ROUND(K97/2,0))))</f>
        <v>#DIV/0!</v>
      </c>
      <c r="L26" s="4" t="e">
        <f>IF(L29=1,IF(Data!$B$2="yes",ROUND(L57/2,0),ROUND(L43/2,0)),IF(L29=2,IF(Data!$B$2="yes",ROUND(L84/2,0),ROUND(L70/2,0)),IF(Data!$B$2="yes",ROUND(L111/2,0),ROUND(L97/2,0))))</f>
        <v>#DIV/0!</v>
      </c>
      <c r="M26" s="4" t="e">
        <f>IF(M29=1,IF(Data!$B$2="yes",ROUND(M57/2,0),ROUND(M43/2,0)),IF(M29=2,IF(Data!$B$2="yes",ROUND(M84/2,0),ROUND(M70/2,0)),IF(Data!$B$2="yes",ROUND(M111/2,0),ROUND(M97/2,0))))</f>
        <v>#DIV/0!</v>
      </c>
      <c r="N26" s="30" t="e">
        <f>SUM(J26:M26)</f>
        <v>#DIV/0!</v>
      </c>
    </row>
    <row r="27" spans="6:14" ht="12.75" customHeight="1">
      <c r="F27" s="19"/>
      <c r="I27" s="28">
        <f>IF(Data!$B$2="yes",I58,I44)</f>
        <v>0</v>
      </c>
      <c r="J27" s="4" t="e">
        <f>IF(J29=1,IF(Data!$B$2="yes",ROUND(J58/2,0),ROUND(J44/2,0)),IF(J29=2,IF(Data!$B$2="yes",ROUND(J85/2,0),ROUND(J71/2,0)),IF(Data!$B$2="yes",ROUND(J112/2,0),ROUND(J98/2,0))))</f>
        <v>#DIV/0!</v>
      </c>
      <c r="K27" s="4" t="e">
        <f>IF(K29=1,IF(Data!$B$2="yes",ROUND(K58/2,0),ROUND(K44/2,0)),IF(K29=2,IF(Data!$B$2="yes",ROUND(K85/2,0),ROUND(K71/2,0)),IF(Data!$B$2="yes",ROUND(K112/2,0),ROUND(K98/2,0))))</f>
        <v>#DIV/0!</v>
      </c>
      <c r="L27" s="4" t="e">
        <f>IF(L29=1,IF(Data!$B$2="yes",ROUND(L58/2,0),ROUND(L44/2,0)),IF(L29=2,IF(Data!$B$2="yes",ROUND(L85/2,0),ROUND(L71/2,0)),IF(Data!$B$2="yes",ROUND(L112/2,0),ROUND(L98/2,0))))</f>
        <v>#DIV/0!</v>
      </c>
      <c r="M27" s="4" t="e">
        <f>IF(M29=1,IF(Data!$B$2="yes",ROUND(M58/2,0),ROUND(M44/2,0)),IF(M29=2,IF(Data!$B$2="yes",ROUND(M85/2,0),ROUND(M71/2,0)),IF(Data!$B$2="yes",ROUND(M112/2,0),ROUND(M98/2,0))))</f>
        <v>#DIV/0!</v>
      </c>
      <c r="N27" s="30" t="e">
        <f>SUM(J27:M27)</f>
        <v>#DIV/0!</v>
      </c>
    </row>
    <row r="28" spans="9:14" ht="12" customHeight="1">
      <c r="I28" s="28">
        <f>IF(Data!$B$2="yes",I59,I45)</f>
        <v>0</v>
      </c>
      <c r="J28" s="4" t="e">
        <f>IF(J29=1,IF(Data!$B$2="yes",ROUND(J59/2,0),ROUND(J45/2,0)),IF(J29=2,IF(Data!$B$2="yes",ROUND(J86/2,0),ROUND(J72/2,0)),IF(Data!$B$2="yes",ROUND(J113/2,0),ROUND(J99/2,0))))</f>
        <v>#DIV/0!</v>
      </c>
      <c r="K28" s="4" t="e">
        <f>IF(K29=1,IF(Data!$B$2="yes",ROUND(K59/2,0),ROUND(K45/2,0)),IF(K29=2,IF(Data!$B$2="yes",ROUND(K86/2,0),ROUND(K72/2,0)),IF(Data!$B$2="yes",ROUND(K113/2,0),ROUND(K99/2,0))))</f>
        <v>#DIV/0!</v>
      </c>
      <c r="L28" s="4" t="e">
        <f>IF(L29=1,IF(Data!$B$2="yes",ROUND(L59/2,0),ROUND(L45/2,0)),IF(L29=2,IF(Data!$B$2="yes",ROUND(L86/2,0),ROUND(L72/2,0)),IF(Data!$B$2="yes",ROUND(L113/2,0),ROUND(L99/2,0))))</f>
        <v>#DIV/0!</v>
      </c>
      <c r="M28" s="4" t="e">
        <f>IF(M29=1,IF(Data!$B$2="yes",ROUND(M59/2,0),ROUND(M45/2,0)),IF(M29=2,IF(Data!$B$2="yes",ROUND(M86/2,0),ROUND(M72/2,0)),IF(Data!$B$2="yes",ROUND(M113/2,0),ROUND(M99/2,0))))</f>
        <v>#DIV/0!</v>
      </c>
      <c r="N28" s="30" t="e">
        <f>SUM(J28:M28)</f>
        <v>#DIV/0!</v>
      </c>
    </row>
    <row r="29" spans="2:13" ht="12.75">
      <c r="B29" s="1" t="s">
        <v>19</v>
      </c>
      <c r="I29" t="s">
        <v>217</v>
      </c>
      <c r="J29" s="4">
        <f>IF(Data!$B$1="no",Data!$B$8,Data!$C$8)</f>
        <v>1</v>
      </c>
      <c r="K29" s="4">
        <f>IF(Data!$B$1="no",Data!$B$8,Data!$C$8)</f>
        <v>1</v>
      </c>
      <c r="L29" s="4">
        <f>IF(Data!$B$1="yes",Data!$B$8,Data!$C$8)</f>
        <v>1</v>
      </c>
      <c r="M29" s="4">
        <f>IF(Data!$B$1="yes",Data!$B$8,Data!$C$8)</f>
        <v>1</v>
      </c>
    </row>
    <row r="30" spans="3:5" ht="12.75">
      <c r="C30" s="20" t="s">
        <v>0</v>
      </c>
      <c r="D30" s="21" t="s">
        <v>20</v>
      </c>
      <c r="E30" s="19" t="s">
        <v>22</v>
      </c>
    </row>
    <row r="31" spans="2:5" ht="12.75">
      <c r="B31" s="21" t="s">
        <v>21</v>
      </c>
      <c r="C31" s="159"/>
      <c r="D31" s="171" t="s">
        <v>15</v>
      </c>
      <c r="E31" s="171" t="s">
        <v>181</v>
      </c>
    </row>
    <row r="32" spans="2:5" ht="12.75">
      <c r="B32" s="21" t="s">
        <v>23</v>
      </c>
      <c r="C32" s="159"/>
      <c r="D32" s="200"/>
      <c r="E32" s="200"/>
    </row>
    <row r="33" spans="2:5" ht="12.75">
      <c r="B33" s="21" t="s">
        <v>24</v>
      </c>
      <c r="C33" s="159"/>
      <c r="D33" s="201"/>
      <c r="E33" s="201"/>
    </row>
    <row r="34" spans="2:5" ht="12.75">
      <c r="B34" s="21" t="s">
        <v>25</v>
      </c>
      <c r="C34" s="159"/>
      <c r="D34" s="202"/>
      <c r="E34" s="202"/>
    </row>
    <row r="35" spans="9:12" ht="6" customHeight="1">
      <c r="I35" s="195" t="s">
        <v>197</v>
      </c>
      <c r="J35" s="195"/>
      <c r="K35" s="195"/>
      <c r="L35" s="195"/>
    </row>
    <row r="36" spans="9:12" ht="6" customHeight="1">
      <c r="I36" s="195"/>
      <c r="J36" s="195"/>
      <c r="K36" s="195"/>
      <c r="L36" s="195"/>
    </row>
    <row r="37" spans="2:12" ht="12.75">
      <c r="B37" s="1" t="s">
        <v>26</v>
      </c>
      <c r="I37" s="195"/>
      <c r="J37" s="195"/>
      <c r="K37" s="195"/>
      <c r="L37" s="195"/>
    </row>
    <row r="38" ht="12.75">
      <c r="C38" s="20" t="s">
        <v>36</v>
      </c>
    </row>
    <row r="39" spans="3:9" ht="12.75">
      <c r="C39" s="20"/>
      <c r="I39" s="1" t="s">
        <v>70</v>
      </c>
    </row>
    <row r="40" spans="2:13" ht="12.75">
      <c r="B40" s="23" t="s">
        <v>27</v>
      </c>
      <c r="C40" s="23" t="s">
        <v>28</v>
      </c>
      <c r="D40" s="23" t="s">
        <v>29</v>
      </c>
      <c r="E40" s="23" t="s">
        <v>30</v>
      </c>
      <c r="J40" s="23" t="s">
        <v>27</v>
      </c>
      <c r="K40" s="23" t="s">
        <v>28</v>
      </c>
      <c r="L40" s="23" t="s">
        <v>29</v>
      </c>
      <c r="M40" s="23" t="s">
        <v>30</v>
      </c>
    </row>
    <row r="41" spans="2:14" ht="12.75">
      <c r="B41" s="23" t="s">
        <v>31</v>
      </c>
      <c r="C41" s="23" t="s">
        <v>32</v>
      </c>
      <c r="D41" s="23" t="s">
        <v>33</v>
      </c>
      <c r="E41" s="23" t="s">
        <v>34</v>
      </c>
      <c r="F41" s="16" t="s">
        <v>35</v>
      </c>
      <c r="I41" s="27" t="s">
        <v>0</v>
      </c>
      <c r="J41" s="26" t="s">
        <v>31</v>
      </c>
      <c r="K41" s="26" t="s">
        <v>32</v>
      </c>
      <c r="L41" s="26" t="s">
        <v>33</v>
      </c>
      <c r="M41" s="26" t="s">
        <v>34</v>
      </c>
      <c r="N41" s="29" t="s">
        <v>35</v>
      </c>
    </row>
    <row r="42" spans="1:14" ht="12.75">
      <c r="A42" s="22"/>
      <c r="B42" s="159">
        <v>0</v>
      </c>
      <c r="C42" s="159">
        <v>0</v>
      </c>
      <c r="D42" s="159">
        <v>0</v>
      </c>
      <c r="E42" s="159">
        <v>0</v>
      </c>
      <c r="F42" s="24">
        <f>SUM(B42:E42)</f>
        <v>0</v>
      </c>
      <c r="I42" s="28">
        <f>C31</f>
        <v>0</v>
      </c>
      <c r="J42" s="24">
        <f>B42</f>
        <v>0</v>
      </c>
      <c r="K42" s="24">
        <f>C42</f>
        <v>0</v>
      </c>
      <c r="L42" s="24">
        <f>D42</f>
        <v>0</v>
      </c>
      <c r="M42" s="24">
        <f>E42</f>
        <v>0</v>
      </c>
      <c r="N42" s="30">
        <f>SUM(J42:M42)</f>
        <v>0</v>
      </c>
    </row>
    <row r="43" spans="9:14" ht="12.75">
      <c r="I43" s="28">
        <f>C32</f>
        <v>0</v>
      </c>
      <c r="J43" s="4">
        <f>J42*(1+J47*($I43-$I42))</f>
        <v>0</v>
      </c>
      <c r="K43" s="4">
        <f>K42*(1+K47*($I43-$I42))</f>
        <v>0</v>
      </c>
      <c r="L43" s="4">
        <f>L42*(1+L47*($I43-$I42))</f>
        <v>0</v>
      </c>
      <c r="M43" s="4">
        <f>M42*(1+M47*($I43-$I42))</f>
        <v>0</v>
      </c>
      <c r="N43" s="30">
        <f>SUM(J43:M43)</f>
        <v>0</v>
      </c>
    </row>
    <row r="44" spans="9:14" ht="12.75">
      <c r="I44" s="28">
        <f>C33</f>
        <v>0</v>
      </c>
      <c r="J44" s="4">
        <f>J42*(1+J47*($I44-$I42))</f>
        <v>0</v>
      </c>
      <c r="K44" s="4">
        <f>K42*(1+K47*($I44-$I42))</f>
        <v>0</v>
      </c>
      <c r="L44" s="4">
        <f>L42*(1+L47*($I44-$I42))</f>
        <v>0</v>
      </c>
      <c r="M44" s="4">
        <f>M42*(1+M47*($I44-$I42))</f>
        <v>0</v>
      </c>
      <c r="N44" s="30">
        <f>SUM(J44:M44)</f>
        <v>0</v>
      </c>
    </row>
    <row r="45" spans="2:14" ht="12.75">
      <c r="B45" s="1" t="s">
        <v>39</v>
      </c>
      <c r="I45" s="28">
        <f>C34</f>
        <v>0</v>
      </c>
      <c r="J45" s="4">
        <f>J42*(1+J47*($I45-$I42))</f>
        <v>0</v>
      </c>
      <c r="K45" s="4">
        <f>K42*(1+K47*($I45-$I42))</f>
        <v>0</v>
      </c>
      <c r="L45" s="4">
        <f>L42*(1+L47*($I45-$I42))</f>
        <v>0</v>
      </c>
      <c r="M45" s="4">
        <f>M42*(1+M47*($I45-$I42))</f>
        <v>0</v>
      </c>
      <c r="N45" s="30">
        <f>SUM(J45:M45)</f>
        <v>0</v>
      </c>
    </row>
    <row r="46" spans="3:9" ht="12.75">
      <c r="C46" s="20" t="s">
        <v>0</v>
      </c>
      <c r="D46" s="20"/>
      <c r="I46" s="22"/>
    </row>
    <row r="47" spans="2:13" ht="12.75">
      <c r="B47" s="21" t="s">
        <v>21</v>
      </c>
      <c r="C47" s="159"/>
      <c r="I47" t="s">
        <v>182</v>
      </c>
      <c r="J47" s="172">
        <f>IF(Data!$B$1="yes",E32,D32)</f>
        <v>0</v>
      </c>
      <c r="K47" s="172">
        <f>IF(Data!$B$1="yes",E32,D32)</f>
        <v>0</v>
      </c>
      <c r="L47" s="172">
        <f>IF(Data!$B$1="yes",D32,E32)</f>
        <v>0</v>
      </c>
      <c r="M47" s="172">
        <f>IF(Data!$B$1="yes",D32,E32)</f>
        <v>0</v>
      </c>
    </row>
    <row r="48" spans="2:13" ht="12.75">
      <c r="B48" s="21" t="s">
        <v>23</v>
      </c>
      <c r="C48" s="159"/>
      <c r="J48" s="172"/>
      <c r="K48" s="172"/>
      <c r="L48" s="172"/>
      <c r="M48" s="172"/>
    </row>
    <row r="49" spans="2:13" ht="12.75">
      <c r="B49" s="21" t="s">
        <v>24</v>
      </c>
      <c r="C49" s="159"/>
      <c r="K49" s="172"/>
      <c r="L49" s="172"/>
      <c r="M49" s="172"/>
    </row>
    <row r="50" spans="2:3" ht="12.75">
      <c r="B50" s="21" t="s">
        <v>25</v>
      </c>
      <c r="C50" s="159"/>
    </row>
    <row r="51" spans="2:3" ht="12.75">
      <c r="B51" s="21" t="s">
        <v>40</v>
      </c>
      <c r="C51" s="159"/>
    </row>
    <row r="53" spans="2:9" ht="12.75">
      <c r="B53" s="1" t="s">
        <v>41</v>
      </c>
      <c r="I53" s="1" t="s">
        <v>72</v>
      </c>
    </row>
    <row r="54" spans="3:13" ht="12.75">
      <c r="C54" s="20" t="s">
        <v>71</v>
      </c>
      <c r="J54" s="23" t="s">
        <v>27</v>
      </c>
      <c r="K54" s="23" t="s">
        <v>28</v>
      </c>
      <c r="L54" s="23" t="s">
        <v>29</v>
      </c>
      <c r="M54" s="23" t="s">
        <v>30</v>
      </c>
    </row>
    <row r="55" spans="3:14" ht="12.75">
      <c r="C55" s="20"/>
      <c r="I55" s="27" t="s">
        <v>0</v>
      </c>
      <c r="J55" s="26" t="s">
        <v>31</v>
      </c>
      <c r="K55" s="26" t="s">
        <v>32</v>
      </c>
      <c r="L55" s="26" t="s">
        <v>33</v>
      </c>
      <c r="M55" s="26" t="s">
        <v>34</v>
      </c>
      <c r="N55" s="29" t="s">
        <v>35</v>
      </c>
    </row>
    <row r="56" spans="2:14" ht="12.75">
      <c r="B56" s="23" t="s">
        <v>27</v>
      </c>
      <c r="C56" s="23" t="s">
        <v>28</v>
      </c>
      <c r="D56" s="23" t="s">
        <v>29</v>
      </c>
      <c r="E56" s="23" t="s">
        <v>30</v>
      </c>
      <c r="I56" s="28">
        <f>C47</f>
        <v>0</v>
      </c>
      <c r="J56" s="24">
        <f>B58</f>
        <v>0</v>
      </c>
      <c r="K56" s="24">
        <f>C58</f>
        <v>0</v>
      </c>
      <c r="L56" s="24">
        <f>D58</f>
        <v>0</v>
      </c>
      <c r="M56" s="24">
        <f>E58</f>
        <v>0</v>
      </c>
      <c r="N56" s="30">
        <f>SUM(J56:M56)</f>
        <v>0</v>
      </c>
    </row>
    <row r="57" spans="2:20" ht="12.75">
      <c r="B57" s="23" t="s">
        <v>31</v>
      </c>
      <c r="C57" s="23" t="s">
        <v>32</v>
      </c>
      <c r="D57" s="23" t="s">
        <v>33</v>
      </c>
      <c r="E57" s="23" t="s">
        <v>34</v>
      </c>
      <c r="F57" s="16" t="s">
        <v>35</v>
      </c>
      <c r="I57" s="28">
        <f>C48</f>
        <v>0</v>
      </c>
      <c r="J57" s="24" t="e">
        <f aca="true" t="shared" si="0" ref="J57:K59">($I57-$I$56)/($C$51-$I$56)*(B$59-B$58)+J$56</f>
        <v>#DIV/0!</v>
      </c>
      <c r="K57" s="24" t="e">
        <f t="shared" si="0"/>
        <v>#DIV/0!</v>
      </c>
      <c r="L57" s="24" t="e">
        <f aca="true" t="shared" si="1" ref="L57:M59">($I57-$I$56)/($C$51-$I$56)*(D$59-D$58)+L$56</f>
        <v>#DIV/0!</v>
      </c>
      <c r="M57" s="24" t="e">
        <f t="shared" si="1"/>
        <v>#DIV/0!</v>
      </c>
      <c r="N57" s="30" t="e">
        <f>SUM(J57:M57)</f>
        <v>#DIV/0!</v>
      </c>
      <c r="P57" s="22"/>
      <c r="Q57" s="178"/>
      <c r="R57" s="22"/>
      <c r="S57" s="178"/>
      <c r="T57" s="22"/>
    </row>
    <row r="58" spans="1:14" ht="12.75">
      <c r="A58" s="22">
        <f>C47</f>
        <v>0</v>
      </c>
      <c r="B58" s="159">
        <v>0</v>
      </c>
      <c r="C58" s="159">
        <v>0</v>
      </c>
      <c r="D58" s="159">
        <v>0</v>
      </c>
      <c r="E58" s="159">
        <v>0</v>
      </c>
      <c r="F58" s="24">
        <f>SUM(B58:E58)</f>
        <v>0</v>
      </c>
      <c r="I58" s="28">
        <f>C49</f>
        <v>0</v>
      </c>
      <c r="J58" s="24" t="e">
        <f t="shared" si="0"/>
        <v>#DIV/0!</v>
      </c>
      <c r="K58" s="24" t="e">
        <f t="shared" si="0"/>
        <v>#DIV/0!</v>
      </c>
      <c r="L58" s="24" t="e">
        <f t="shared" si="1"/>
        <v>#DIV/0!</v>
      </c>
      <c r="M58" s="24" t="e">
        <f t="shared" si="1"/>
        <v>#DIV/0!</v>
      </c>
      <c r="N58" s="30" t="e">
        <f>SUM(J58:M58)</f>
        <v>#DIV/0!</v>
      </c>
    </row>
    <row r="59" spans="1:14" ht="12.75">
      <c r="A59" s="22">
        <f>C51</f>
        <v>0</v>
      </c>
      <c r="B59" s="159">
        <v>0</v>
      </c>
      <c r="C59" s="159">
        <v>0</v>
      </c>
      <c r="D59" s="159">
        <v>0</v>
      </c>
      <c r="E59" s="159">
        <v>0</v>
      </c>
      <c r="F59" s="24">
        <f>SUM(B59:E59)</f>
        <v>0</v>
      </c>
      <c r="I59" s="28">
        <f>C50</f>
        <v>0</v>
      </c>
      <c r="J59" s="24" t="e">
        <f t="shared" si="0"/>
        <v>#DIV/0!</v>
      </c>
      <c r="K59" s="24" t="e">
        <f t="shared" si="0"/>
        <v>#DIV/0!</v>
      </c>
      <c r="L59" s="24" t="e">
        <f t="shared" si="1"/>
        <v>#DIV/0!</v>
      </c>
      <c r="M59" s="24" t="e">
        <f t="shared" si="1"/>
        <v>#DIV/0!</v>
      </c>
      <c r="N59" s="30" t="e">
        <f>SUM(J59:M59)</f>
        <v>#DIV/0!</v>
      </c>
    </row>
    <row r="60" spans="17:20" ht="12.75">
      <c r="Q60" s="178"/>
      <c r="R60" s="22"/>
      <c r="S60" s="178"/>
      <c r="T60" s="22"/>
    </row>
    <row r="61" spans="17:20" ht="12.75">
      <c r="Q61" s="178"/>
      <c r="S61" s="178"/>
      <c r="T61" s="22"/>
    </row>
    <row r="62" spans="3:12" ht="12.75">
      <c r="C62" s="194" t="s">
        <v>67</v>
      </c>
      <c r="D62" s="194"/>
      <c r="E62" s="205" t="str">
        <f>"  Actual/Counted"</f>
        <v>  Actual/Counted</v>
      </c>
      <c r="F62" s="205"/>
      <c r="I62" s="195" t="s">
        <v>198</v>
      </c>
      <c r="J62" s="195"/>
      <c r="K62" s="195"/>
      <c r="L62" s="195"/>
    </row>
    <row r="63" spans="3:12" ht="12.75">
      <c r="C63" s="194" t="s">
        <v>68</v>
      </c>
      <c r="D63" s="194"/>
      <c r="E63" s="205" t="str">
        <f>"  Traffic"</f>
        <v>  Traffic</v>
      </c>
      <c r="F63" s="205"/>
      <c r="I63" s="195"/>
      <c r="J63" s="195"/>
      <c r="K63" s="195"/>
      <c r="L63" s="195"/>
    </row>
    <row r="64" spans="3:12" ht="12.75">
      <c r="C64" s="194" t="s">
        <v>69</v>
      </c>
      <c r="D64" s="194"/>
      <c r="E64" s="193" t="str">
        <f>"  for "&amp;IF(Data!B2="yes",C47,C31)</f>
        <v>  for </v>
      </c>
      <c r="F64" s="193"/>
      <c r="I64" s="195"/>
      <c r="J64" s="195"/>
      <c r="K64" s="195"/>
      <c r="L64" s="195"/>
    </row>
    <row r="65" spans="2:6" ht="12.75">
      <c r="B65" s="23" t="s">
        <v>43</v>
      </c>
      <c r="C65" s="23" t="s">
        <v>55</v>
      </c>
      <c r="D65" s="166"/>
      <c r="E65" s="159">
        <v>0</v>
      </c>
      <c r="F65" s="164"/>
    </row>
    <row r="66" spans="2:9" ht="12.75">
      <c r="B66" s="23" t="s">
        <v>42</v>
      </c>
      <c r="C66" s="23" t="s">
        <v>57</v>
      </c>
      <c r="D66" s="165">
        <f>1-D65-D67</f>
        <v>1</v>
      </c>
      <c r="E66" s="159">
        <v>0</v>
      </c>
      <c r="F66" s="164"/>
      <c r="I66" s="1" t="s">
        <v>70</v>
      </c>
    </row>
    <row r="67" spans="2:13" ht="12.75">
      <c r="B67" s="23" t="s">
        <v>44</v>
      </c>
      <c r="C67" s="23" t="s">
        <v>58</v>
      </c>
      <c r="D67" s="166"/>
      <c r="E67" s="159">
        <v>0</v>
      </c>
      <c r="F67" s="164"/>
      <c r="J67" s="23" t="s">
        <v>27</v>
      </c>
      <c r="K67" s="23" t="s">
        <v>28</v>
      </c>
      <c r="L67" s="23" t="s">
        <v>29</v>
      </c>
      <c r="M67" s="23" t="s">
        <v>30</v>
      </c>
    </row>
    <row r="68" spans="2:14" ht="12.75">
      <c r="B68" s="23"/>
      <c r="C68" s="23"/>
      <c r="D68" s="174"/>
      <c r="E68" s="161"/>
      <c r="F68" s="164"/>
      <c r="I68" s="27" t="s">
        <v>0</v>
      </c>
      <c r="J68" s="26" t="s">
        <v>31</v>
      </c>
      <c r="K68" s="26" t="s">
        <v>32</v>
      </c>
      <c r="L68" s="26" t="s">
        <v>33</v>
      </c>
      <c r="M68" s="26" t="s">
        <v>34</v>
      </c>
      <c r="N68" s="29" t="s">
        <v>35</v>
      </c>
    </row>
    <row r="69" spans="2:14" ht="12.75">
      <c r="B69" s="23" t="s">
        <v>47</v>
      </c>
      <c r="C69" s="23" t="s">
        <v>61</v>
      </c>
      <c r="D69" s="167"/>
      <c r="E69" s="159">
        <v>0</v>
      </c>
      <c r="F69" s="203" t="s">
        <v>196</v>
      </c>
      <c r="G69" s="204"/>
      <c r="I69" s="28">
        <f>C31</f>
        <v>0</v>
      </c>
      <c r="J69" s="24">
        <f>B42</f>
        <v>0</v>
      </c>
      <c r="K69" s="24">
        <f>C42</f>
        <v>0</v>
      </c>
      <c r="L69" s="24">
        <f>D42</f>
        <v>0</v>
      </c>
      <c r="M69" s="24">
        <f>E42</f>
        <v>0</v>
      </c>
      <c r="N69" s="30">
        <f>SUM(J69:M69)</f>
        <v>0</v>
      </c>
    </row>
    <row r="70" spans="2:14" ht="12.75">
      <c r="B70" s="23" t="s">
        <v>45</v>
      </c>
      <c r="C70" s="23" t="s">
        <v>60</v>
      </c>
      <c r="D70" s="165">
        <f>1-D71-D69</f>
        <v>1</v>
      </c>
      <c r="E70" s="159">
        <v>0</v>
      </c>
      <c r="F70" s="164"/>
      <c r="I70" s="28">
        <f>C32</f>
        <v>0</v>
      </c>
      <c r="J70" s="24">
        <f>J69*(1+J74)^($I70-$I69)</f>
        <v>0</v>
      </c>
      <c r="K70" s="24">
        <f>K69*(1+K74)^($I70-$I69)</f>
        <v>0</v>
      </c>
      <c r="L70" s="24">
        <f>L69*(1+L74)^($I70-$I69)</f>
        <v>0</v>
      </c>
      <c r="M70" s="24">
        <f>M69*(1+M74)^($I70-$I69)</f>
        <v>0</v>
      </c>
      <c r="N70" s="30">
        <f>SUM(J70:M70)</f>
        <v>0</v>
      </c>
    </row>
    <row r="71" spans="2:14" ht="12.75">
      <c r="B71" s="23" t="s">
        <v>46</v>
      </c>
      <c r="C71" s="23" t="s">
        <v>59</v>
      </c>
      <c r="D71" s="167"/>
      <c r="E71" s="159">
        <v>0</v>
      </c>
      <c r="F71" s="164"/>
      <c r="I71" s="28">
        <f>C33</f>
        <v>0</v>
      </c>
      <c r="J71" s="24">
        <f>J69*(1+J74)^($I71-$I69)</f>
        <v>0</v>
      </c>
      <c r="K71" s="24">
        <f>K69*(1+K74)^($I71-$I69)</f>
        <v>0</v>
      </c>
      <c r="L71" s="24">
        <f>L69*(1+L74)^($I71-$I69)</f>
        <v>0</v>
      </c>
      <c r="M71" s="24">
        <f>M69*(1+M74)^($I71-$I69)</f>
        <v>0</v>
      </c>
      <c r="N71" s="30">
        <f>SUM(J71:M71)</f>
        <v>0</v>
      </c>
    </row>
    <row r="72" spans="2:14" ht="12.75">
      <c r="B72" s="23"/>
      <c r="C72" s="23"/>
      <c r="D72" s="174"/>
      <c r="E72" s="161"/>
      <c r="F72" s="164"/>
      <c r="I72" s="28">
        <f>C34</f>
        <v>0</v>
      </c>
      <c r="J72" s="24">
        <f>J69*(1+J74)^($I72-$I69)</f>
        <v>0</v>
      </c>
      <c r="K72" s="24">
        <f>K69*(1+K74)^($I72-$I69)</f>
        <v>0</v>
      </c>
      <c r="L72" s="24">
        <f>L69*(1+L74)^($I72-$I69)</f>
        <v>0</v>
      </c>
      <c r="M72" s="24">
        <f>M69*(1+M74)^($I72-$I69)</f>
        <v>0</v>
      </c>
      <c r="N72" s="30">
        <f>SUM(J72:M72)</f>
        <v>0</v>
      </c>
    </row>
    <row r="73" spans="2:9" ht="12.75">
      <c r="B73" s="23" t="s">
        <v>49</v>
      </c>
      <c r="C73" s="23" t="s">
        <v>62</v>
      </c>
      <c r="D73" s="166"/>
      <c r="E73" s="159">
        <v>0</v>
      </c>
      <c r="F73" s="164"/>
      <c r="I73" s="22"/>
    </row>
    <row r="74" spans="2:13" ht="12.75">
      <c r="B74" s="23" t="s">
        <v>50</v>
      </c>
      <c r="C74" s="23" t="s">
        <v>63</v>
      </c>
      <c r="D74" s="165">
        <f>1-D73-D75</f>
        <v>1</v>
      </c>
      <c r="E74" s="159">
        <v>0</v>
      </c>
      <c r="F74" s="164"/>
      <c r="I74" t="s">
        <v>182</v>
      </c>
      <c r="J74" s="172">
        <f>IF(Data!$B$1="yes",E32,D32)</f>
        <v>0</v>
      </c>
      <c r="K74" s="172">
        <f>IF(Data!$B$1="yes",E32,D32)</f>
        <v>0</v>
      </c>
      <c r="L74" s="172">
        <f>IF(Data!$B$1="yes",D32,E32)</f>
        <v>0</v>
      </c>
      <c r="M74" s="172">
        <f>IF(Data!$B$1="yes",D32,E32)</f>
        <v>0</v>
      </c>
    </row>
    <row r="75" spans="2:13" ht="12.75">
      <c r="B75" s="23" t="s">
        <v>48</v>
      </c>
      <c r="C75" s="23" t="s">
        <v>56</v>
      </c>
      <c r="D75" s="166"/>
      <c r="E75" s="159">
        <v>0</v>
      </c>
      <c r="F75" s="164"/>
      <c r="J75" s="172"/>
      <c r="K75" s="172"/>
      <c r="L75" s="172"/>
      <c r="M75" s="172"/>
    </row>
    <row r="76" spans="2:13" ht="12.75">
      <c r="B76" s="23"/>
      <c r="C76" s="23"/>
      <c r="D76" s="174"/>
      <c r="E76" s="161"/>
      <c r="F76" s="164"/>
      <c r="J76" s="172"/>
      <c r="K76" s="172"/>
      <c r="L76" s="172"/>
      <c r="M76" s="172"/>
    </row>
    <row r="77" spans="2:6" ht="12.75">
      <c r="B77" s="23" t="s">
        <v>51</v>
      </c>
      <c r="C77" s="23" t="s">
        <v>65</v>
      </c>
      <c r="D77" s="166"/>
      <c r="E77" s="159">
        <v>0</v>
      </c>
      <c r="F77" s="164"/>
    </row>
    <row r="78" spans="2:6" ht="12.75">
      <c r="B78" s="23" t="s">
        <v>53</v>
      </c>
      <c r="C78" s="23" t="s">
        <v>64</v>
      </c>
      <c r="D78" s="165">
        <f>1-D77-D79</f>
        <v>1</v>
      </c>
      <c r="E78" s="159">
        <v>0</v>
      </c>
      <c r="F78" s="164"/>
    </row>
    <row r="79" spans="2:6" ht="12.75">
      <c r="B79" s="23" t="s">
        <v>52</v>
      </c>
      <c r="C79" s="23" t="s">
        <v>66</v>
      </c>
      <c r="D79" s="166"/>
      <c r="E79" s="159">
        <v>0</v>
      </c>
      <c r="F79" s="164"/>
    </row>
    <row r="80" spans="4:9" ht="12.75">
      <c r="D80" s="168"/>
      <c r="E80" s="162"/>
      <c r="I80" s="1" t="s">
        <v>72</v>
      </c>
    </row>
    <row r="81" spans="2:13" ht="12.75">
      <c r="B81" t="s">
        <v>54</v>
      </c>
      <c r="D81" s="160">
        <v>0.01</v>
      </c>
      <c r="J81" s="23" t="s">
        <v>27</v>
      </c>
      <c r="K81" s="23" t="s">
        <v>28</v>
      </c>
      <c r="L81" s="23" t="s">
        <v>29</v>
      </c>
      <c r="M81" s="23" t="s">
        <v>30</v>
      </c>
    </row>
    <row r="82" spans="9:14" ht="12.75">
      <c r="I82" s="27" t="s">
        <v>0</v>
      </c>
      <c r="J82" s="26" t="s">
        <v>31</v>
      </c>
      <c r="K82" s="26" t="s">
        <v>32</v>
      </c>
      <c r="L82" s="26" t="s">
        <v>33</v>
      </c>
      <c r="M82" s="26" t="s">
        <v>34</v>
      </c>
      <c r="N82" s="29" t="s">
        <v>35</v>
      </c>
    </row>
    <row r="83" spans="9:14" ht="12.75">
      <c r="I83" s="28">
        <f>C47</f>
        <v>0</v>
      </c>
      <c r="J83" s="24">
        <f>B58</f>
        <v>0</v>
      </c>
      <c r="K83" s="24">
        <f>C58</f>
        <v>0</v>
      </c>
      <c r="L83" s="24">
        <f>D58</f>
        <v>0</v>
      </c>
      <c r="M83" s="24">
        <f>E58</f>
        <v>0</v>
      </c>
      <c r="N83" s="30">
        <f>SUM(J83:M83)</f>
        <v>0</v>
      </c>
    </row>
    <row r="84" spans="9:14" ht="12.75">
      <c r="I84" s="28">
        <f>C48</f>
        <v>0</v>
      </c>
      <c r="J84" s="181" t="e">
        <f>J$83*(1+((J$86-J$83)/J$83+1)^(1/($I$86-$I$83))-1)^($I84-$I$83)</f>
        <v>#DIV/0!</v>
      </c>
      <c r="K84" s="181" t="e">
        <f aca="true" t="shared" si="2" ref="K84:M85">K$83*(1+((K$86-K$83)/K$83+1)^(1/($I$86-$I$83))-1)^($I84-$I$83)</f>
        <v>#DIV/0!</v>
      </c>
      <c r="L84" s="181" t="e">
        <f t="shared" si="2"/>
        <v>#DIV/0!</v>
      </c>
      <c r="M84" s="181" t="e">
        <f t="shared" si="2"/>
        <v>#DIV/0!</v>
      </c>
      <c r="N84" s="30" t="e">
        <f>SUM(J84:M84)</f>
        <v>#DIV/0!</v>
      </c>
    </row>
    <row r="85" spans="9:14" ht="12.75">
      <c r="I85" s="28">
        <f>C49</f>
        <v>0</v>
      </c>
      <c r="J85" s="181" t="e">
        <f>J$83*(1+((J$86-J$83)/J$83+1)^(1/($I$86-$I$83))-1)^($I85-$I$83)</f>
        <v>#DIV/0!</v>
      </c>
      <c r="K85" s="181" t="e">
        <f t="shared" si="2"/>
        <v>#DIV/0!</v>
      </c>
      <c r="L85" s="181" t="e">
        <f t="shared" si="2"/>
        <v>#DIV/0!</v>
      </c>
      <c r="M85" s="181" t="e">
        <f t="shared" si="2"/>
        <v>#DIV/0!</v>
      </c>
      <c r="N85" s="30" t="e">
        <f>SUM(J85:M85)</f>
        <v>#DIV/0!</v>
      </c>
    </row>
    <row r="86" spans="9:14" ht="12.75">
      <c r="I86" s="28">
        <f>C50</f>
        <v>0</v>
      </c>
      <c r="J86" s="24" t="e">
        <f>($I86-$I$56)/($C$51-$I$56)*(B$59-B$58)+J$56</f>
        <v>#DIV/0!</v>
      </c>
      <c r="K86" s="24" t="e">
        <f>($I86-$I$56)/($C$51-$I$56)*(C$59-C$58)+K$56</f>
        <v>#DIV/0!</v>
      </c>
      <c r="L86" s="24" t="e">
        <f>($I86-$I$56)/($C$51-$I$56)*(D$59-D$58)+L$56</f>
        <v>#DIV/0!</v>
      </c>
      <c r="M86" s="24" t="e">
        <f>($I86-$I$56)/($C$51-$I$56)*(E$59-E$58)+M$56</f>
        <v>#DIV/0!</v>
      </c>
      <c r="N86" s="30" t="e">
        <f>SUM(J86:M86)</f>
        <v>#DIV/0!</v>
      </c>
    </row>
    <row r="87" spans="10:13" ht="12.75">
      <c r="J87" s="22"/>
      <c r="K87" s="180"/>
      <c r="L87" s="179"/>
      <c r="M87" s="32"/>
    </row>
    <row r="88" spans="10:13" ht="12.75">
      <c r="J88" s="24"/>
      <c r="K88" s="24"/>
      <c r="L88" s="24"/>
      <c r="M88" s="24"/>
    </row>
    <row r="89" spans="9:12" ht="12.75">
      <c r="I89" s="199" t="s">
        <v>200</v>
      </c>
      <c r="J89" s="199"/>
      <c r="K89" s="199"/>
      <c r="L89" s="199"/>
    </row>
    <row r="90" spans="9:12" ht="12.75">
      <c r="I90" s="199"/>
      <c r="J90" s="199"/>
      <c r="K90" s="199"/>
      <c r="L90" s="199"/>
    </row>
    <row r="91" spans="9:12" ht="12.75">
      <c r="I91" s="199"/>
      <c r="J91" s="199"/>
      <c r="K91" s="199"/>
      <c r="L91" s="199"/>
    </row>
    <row r="93" ht="12.75">
      <c r="I93" s="1" t="s">
        <v>70</v>
      </c>
    </row>
    <row r="94" spans="10:13" ht="12.75">
      <c r="J94" s="23" t="s">
        <v>27</v>
      </c>
      <c r="K94" s="23" t="s">
        <v>28</v>
      </c>
      <c r="L94" s="23" t="s">
        <v>29</v>
      </c>
      <c r="M94" s="23" t="s">
        <v>30</v>
      </c>
    </row>
    <row r="95" spans="9:14" ht="12.75">
      <c r="I95" s="27" t="s">
        <v>0</v>
      </c>
      <c r="J95" s="26" t="s">
        <v>31</v>
      </c>
      <c r="K95" s="26" t="s">
        <v>32</v>
      </c>
      <c r="L95" s="26" t="s">
        <v>33</v>
      </c>
      <c r="M95" s="26" t="s">
        <v>34</v>
      </c>
      <c r="N95" s="29" t="s">
        <v>35</v>
      </c>
    </row>
    <row r="96" spans="9:14" ht="12.75">
      <c r="I96" s="28">
        <f>C31</f>
        <v>0</v>
      </c>
      <c r="J96" s="24">
        <f>B42</f>
        <v>0</v>
      </c>
      <c r="K96" s="24">
        <f>C42</f>
        <v>0</v>
      </c>
      <c r="L96" s="24">
        <f>D42</f>
        <v>0</v>
      </c>
      <c r="M96" s="24">
        <f>E42</f>
        <v>0</v>
      </c>
      <c r="N96" s="30">
        <f>SUM(J96:M96)</f>
        <v>0</v>
      </c>
    </row>
    <row r="97" spans="9:14" ht="12.75">
      <c r="I97" s="28">
        <f>C32</f>
        <v>0</v>
      </c>
      <c r="J97" s="24" t="e">
        <f>J$104*LOG($I97-$I$96+1)+J$96</f>
        <v>#DIV/0!</v>
      </c>
      <c r="K97" s="24" t="e">
        <f aca="true" t="shared" si="3" ref="K97:M99">K$104*LOG($I97-$I$96+1)+K$96</f>
        <v>#DIV/0!</v>
      </c>
      <c r="L97" s="24" t="e">
        <f t="shared" si="3"/>
        <v>#DIV/0!</v>
      </c>
      <c r="M97" s="24" t="e">
        <f t="shared" si="3"/>
        <v>#DIV/0!</v>
      </c>
      <c r="N97" s="30" t="e">
        <f>SUM(J97:M97)</f>
        <v>#DIV/0!</v>
      </c>
    </row>
    <row r="98" spans="9:14" ht="12.75">
      <c r="I98" s="28">
        <f>C33</f>
        <v>0</v>
      </c>
      <c r="J98" s="24" t="e">
        <f>J$104*LOG($I98-$I$96+1)+J$96</f>
        <v>#DIV/0!</v>
      </c>
      <c r="K98" s="24" t="e">
        <f t="shared" si="3"/>
        <v>#DIV/0!</v>
      </c>
      <c r="L98" s="24" t="e">
        <f t="shared" si="3"/>
        <v>#DIV/0!</v>
      </c>
      <c r="M98" s="24" t="e">
        <f t="shared" si="3"/>
        <v>#DIV/0!</v>
      </c>
      <c r="N98" s="30" t="e">
        <f>SUM(J98:M98)</f>
        <v>#DIV/0!</v>
      </c>
    </row>
    <row r="99" spans="9:14" ht="12.75">
      <c r="I99" s="28">
        <f>C34</f>
        <v>0</v>
      </c>
      <c r="J99" s="24" t="e">
        <f>J$104*LOG($I99-$I$96+1)+J$96</f>
        <v>#DIV/0!</v>
      </c>
      <c r="K99" s="24" t="e">
        <f t="shared" si="3"/>
        <v>#DIV/0!</v>
      </c>
      <c r="L99" s="24" t="e">
        <f t="shared" si="3"/>
        <v>#DIV/0!</v>
      </c>
      <c r="M99" s="24" t="e">
        <f t="shared" si="3"/>
        <v>#DIV/0!</v>
      </c>
      <c r="N99" s="30" t="e">
        <f>SUM(J99:M99)</f>
        <v>#DIV/0!</v>
      </c>
    </row>
    <row r="100" ht="12.75">
      <c r="I100" s="22"/>
    </row>
    <row r="101" spans="9:13" ht="12.75">
      <c r="I101" t="s">
        <v>214</v>
      </c>
      <c r="J101" s="172">
        <f>IF(Data!$B$1="yes",$E32,$D32)</f>
        <v>0</v>
      </c>
      <c r="K101" s="172">
        <f>IF(Data!$B$1="yes",$E32,$D32)</f>
        <v>0</v>
      </c>
      <c r="L101" s="172">
        <f>IF(Data!$B$1="yes",$E32,$D32)</f>
        <v>0</v>
      </c>
      <c r="M101" s="172">
        <f>IF(Data!$B$1="yes",$E32,$D32)</f>
        <v>0</v>
      </c>
    </row>
    <row r="102" spans="9:13" ht="12.75">
      <c r="I102" t="s">
        <v>215</v>
      </c>
      <c r="J102" s="24">
        <f>J96*J101*($I99-$I96)+J96</f>
        <v>0</v>
      </c>
      <c r="K102" s="24">
        <f>K96*K101*($I99-$I96)+K96</f>
        <v>0</v>
      </c>
      <c r="L102" s="24">
        <f>L96*L101*($I99-$I96)+L96</f>
        <v>0</v>
      </c>
      <c r="M102" s="24">
        <f>M96*M101*($I99-$I96)+M96</f>
        <v>0</v>
      </c>
    </row>
    <row r="103" spans="9:13" ht="12.75">
      <c r="I103" t="s">
        <v>216</v>
      </c>
      <c r="J103" s="24">
        <f>J96</f>
        <v>0</v>
      </c>
      <c r="K103" s="24">
        <f>K96</f>
        <v>0</v>
      </c>
      <c r="L103" s="24">
        <f>L96</f>
        <v>0</v>
      </c>
      <c r="M103" s="24">
        <f>M96</f>
        <v>0</v>
      </c>
    </row>
    <row r="104" spans="9:13" ht="12.75">
      <c r="I104" t="s">
        <v>211</v>
      </c>
      <c r="J104" s="24" t="e">
        <f>(J102-J103)/LOG($I99-$I96+1)</f>
        <v>#DIV/0!</v>
      </c>
      <c r="K104" s="24" t="e">
        <f>(K102-K103)/LOG($I99-$I96+1)</f>
        <v>#DIV/0!</v>
      </c>
      <c r="L104" s="24" t="e">
        <f>(L102-L103)/LOG($I99-$I96+1)</f>
        <v>#DIV/0!</v>
      </c>
      <c r="M104" s="24" t="e">
        <f>(M102-M103)/LOG($I99-$I96+1)</f>
        <v>#DIV/0!</v>
      </c>
    </row>
    <row r="107" ht="12.75">
      <c r="I107" s="1" t="s">
        <v>72</v>
      </c>
    </row>
    <row r="108" spans="10:13" ht="12.75">
      <c r="J108" s="23" t="s">
        <v>27</v>
      </c>
      <c r="K108" s="23" t="s">
        <v>28</v>
      </c>
      <c r="L108" s="23" t="s">
        <v>29</v>
      </c>
      <c r="M108" s="23" t="s">
        <v>30</v>
      </c>
    </row>
    <row r="109" spans="9:14" ht="12.75">
      <c r="I109" s="27" t="s">
        <v>0</v>
      </c>
      <c r="J109" s="26" t="s">
        <v>31</v>
      </c>
      <c r="K109" s="26" t="s">
        <v>32</v>
      </c>
      <c r="L109" s="26" t="s">
        <v>33</v>
      </c>
      <c r="M109" s="26" t="s">
        <v>34</v>
      </c>
      <c r="N109" s="29" t="s">
        <v>35</v>
      </c>
    </row>
    <row r="110" spans="9:14" ht="12.75">
      <c r="I110" s="28">
        <f>C47</f>
        <v>0</v>
      </c>
      <c r="J110" s="24">
        <f>J83</f>
        <v>0</v>
      </c>
      <c r="K110" s="24">
        <f>K83</f>
        <v>0</v>
      </c>
      <c r="L110" s="24">
        <f>L83</f>
        <v>0</v>
      </c>
      <c r="M110" s="24">
        <f>M83</f>
        <v>0</v>
      </c>
      <c r="N110" s="30">
        <f>SUM(J110:M110)</f>
        <v>0</v>
      </c>
    </row>
    <row r="111" spans="9:14" ht="12.75">
      <c r="I111" s="28">
        <f>C48</f>
        <v>0</v>
      </c>
      <c r="J111" s="24" t="e">
        <f aca="true" t="shared" si="4" ref="J111:M113">J$119+J$121*LN($I111-$I$110+1)</f>
        <v>#DIV/0!</v>
      </c>
      <c r="K111" s="24" t="e">
        <f t="shared" si="4"/>
        <v>#DIV/0!</v>
      </c>
      <c r="L111" s="24" t="e">
        <f t="shared" si="4"/>
        <v>#DIV/0!</v>
      </c>
      <c r="M111" s="24" t="e">
        <f t="shared" si="4"/>
        <v>#DIV/0!</v>
      </c>
      <c r="N111" s="30" t="e">
        <f>SUM(J111:M111)</f>
        <v>#DIV/0!</v>
      </c>
    </row>
    <row r="112" spans="9:14" ht="12.75">
      <c r="I112" s="28">
        <f>C49</f>
        <v>0</v>
      </c>
      <c r="J112" s="24" t="e">
        <f t="shared" si="4"/>
        <v>#DIV/0!</v>
      </c>
      <c r="K112" s="24" t="e">
        <f t="shared" si="4"/>
        <v>#DIV/0!</v>
      </c>
      <c r="L112" s="24" t="e">
        <f t="shared" si="4"/>
        <v>#DIV/0!</v>
      </c>
      <c r="M112" s="24" t="e">
        <f t="shared" si="4"/>
        <v>#DIV/0!</v>
      </c>
      <c r="N112" s="30" t="e">
        <f>SUM(J112:M112)</f>
        <v>#DIV/0!</v>
      </c>
    </row>
    <row r="113" spans="9:14" ht="12.75">
      <c r="I113" s="28">
        <f>C50</f>
        <v>0</v>
      </c>
      <c r="J113" s="24" t="e">
        <f t="shared" si="4"/>
        <v>#DIV/0!</v>
      </c>
      <c r="K113" s="24" t="e">
        <f t="shared" si="4"/>
        <v>#DIV/0!</v>
      </c>
      <c r="L113" s="24" t="e">
        <f t="shared" si="4"/>
        <v>#DIV/0!</v>
      </c>
      <c r="M113" s="24" t="e">
        <f t="shared" si="4"/>
        <v>#DIV/0!</v>
      </c>
      <c r="N113" s="30" t="e">
        <f>SUM(J113:M113)</f>
        <v>#DIV/0!</v>
      </c>
    </row>
    <row r="115" spans="10:14" ht="12.75">
      <c r="J115" t="s">
        <v>201</v>
      </c>
      <c r="K115" s="35" t="s">
        <v>203</v>
      </c>
      <c r="L115" s="164">
        <v>1</v>
      </c>
      <c r="M115" s="35" t="s">
        <v>205</v>
      </c>
      <c r="N115" s="164" t="s">
        <v>207</v>
      </c>
    </row>
    <row r="116" spans="10:14" ht="12.75">
      <c r="J116" t="s">
        <v>202</v>
      </c>
      <c r="K116" s="35" t="s">
        <v>204</v>
      </c>
      <c r="L116" s="177">
        <f>$C$51-I110+1</f>
        <v>1</v>
      </c>
      <c r="M116" s="35" t="s">
        <v>206</v>
      </c>
      <c r="N116" s="177" t="s">
        <v>208</v>
      </c>
    </row>
    <row r="117" ht="12.75">
      <c r="J117" t="str">
        <f>"n = year - "&amp;I110</f>
        <v>n = year - 0</v>
      </c>
    </row>
    <row r="118" ht="12.75">
      <c r="J118" t="s">
        <v>210</v>
      </c>
    </row>
    <row r="119" spans="9:13" ht="12.75">
      <c r="I119" s="35" t="s">
        <v>212</v>
      </c>
      <c r="J119" s="22">
        <f>J110</f>
        <v>0</v>
      </c>
      <c r="K119" s="22">
        <f>K110</f>
        <v>0</v>
      </c>
      <c r="L119" s="22">
        <f>L110</f>
        <v>0</v>
      </c>
      <c r="M119" s="22">
        <f>M110</f>
        <v>0</v>
      </c>
    </row>
    <row r="120" spans="9:13" ht="12.75">
      <c r="I120" s="35" t="s">
        <v>209</v>
      </c>
      <c r="J120" s="22">
        <f>B59-J110</f>
        <v>0</v>
      </c>
      <c r="K120" s="22">
        <f>C59-K110</f>
        <v>0</v>
      </c>
      <c r="L120" s="22">
        <f>D59-L110</f>
        <v>0</v>
      </c>
      <c r="M120" s="22">
        <f>E59-M110</f>
        <v>0</v>
      </c>
    </row>
    <row r="121" spans="9:13" ht="12.75">
      <c r="I121" s="35" t="s">
        <v>211</v>
      </c>
      <c r="J121" s="22" t="e">
        <f>J120/LN($L$116)</f>
        <v>#DIV/0!</v>
      </c>
      <c r="K121" s="22" t="e">
        <f>K120/LN($L$116)</f>
        <v>#DIV/0!</v>
      </c>
      <c r="L121" s="22" t="e">
        <f>L120/LN($L$116)</f>
        <v>#DIV/0!</v>
      </c>
      <c r="M121" s="22" t="e">
        <f>M120/LN($L$116)</f>
        <v>#DIV/0!</v>
      </c>
    </row>
  </sheetData>
  <sheetProtection/>
  <mergeCells count="21">
    <mergeCell ref="E32:E34"/>
    <mergeCell ref="E63:F63"/>
    <mergeCell ref="C64:D64"/>
    <mergeCell ref="A1:G1"/>
    <mergeCell ref="E62:F62"/>
    <mergeCell ref="C6:E6"/>
    <mergeCell ref="C7:E7"/>
    <mergeCell ref="C8:E8"/>
    <mergeCell ref="A12:B12"/>
    <mergeCell ref="C62:D62"/>
    <mergeCell ref="C4:E4"/>
    <mergeCell ref="E64:F64"/>
    <mergeCell ref="A13:B13"/>
    <mergeCell ref="I35:L37"/>
    <mergeCell ref="C9:E9"/>
    <mergeCell ref="C10:E10"/>
    <mergeCell ref="I89:L91"/>
    <mergeCell ref="D32:D34"/>
    <mergeCell ref="C63:D63"/>
    <mergeCell ref="I62:L64"/>
    <mergeCell ref="F69:G69"/>
  </mergeCells>
  <printOptions/>
  <pageMargins left="0.75" right="0.75" top="0.59" bottom="0.66" header="0.5" footer="0.5"/>
  <pageSetup fitToHeight="1" fitToWidth="1" horizontalDpi="600" verticalDpi="600" orientation="portrait" scale="7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343"/>
  <sheetViews>
    <sheetView zoomScalePageLayoutView="0" workbookViewId="0" topLeftCell="A272">
      <selection activeCell="C295" sqref="C295"/>
    </sheetView>
  </sheetViews>
  <sheetFormatPr defaultColWidth="9.140625" defaultRowHeight="12.75"/>
  <cols>
    <col min="1" max="1" width="15.421875" style="0" customWidth="1"/>
    <col min="2" max="2" width="14.421875" style="0" customWidth="1"/>
    <col min="3" max="3" width="16.00390625" style="0" customWidth="1"/>
    <col min="4" max="4" width="10.00390625" style="0" customWidth="1"/>
  </cols>
  <sheetData>
    <row r="1" spans="1:2" ht="12.75">
      <c r="A1" s="31" t="s">
        <v>73</v>
      </c>
      <c r="B1" s="5"/>
    </row>
    <row r="2" spans="1:2" ht="12.75">
      <c r="A2" s="5" t="s">
        <v>74</v>
      </c>
      <c r="B2" s="5"/>
    </row>
    <row r="3" spans="1:2" ht="12.75">
      <c r="A3" s="5"/>
      <c r="B3" s="5"/>
    </row>
    <row r="4" spans="1:2" ht="12.75">
      <c r="A4" s="5" t="s">
        <v>75</v>
      </c>
      <c r="B4" s="5"/>
    </row>
    <row r="5" spans="1:2" ht="12.75">
      <c r="A5" s="5" t="s">
        <v>76</v>
      </c>
      <c r="B5" s="5"/>
    </row>
    <row r="6" spans="1:2" ht="12.75">
      <c r="A6" s="5" t="s">
        <v>219</v>
      </c>
      <c r="B6" s="5"/>
    </row>
    <row r="7" spans="1:2" ht="12.75">
      <c r="A7" s="5"/>
      <c r="B7" s="5"/>
    </row>
    <row r="8" spans="1:2" ht="12.75">
      <c r="A8" s="31" t="s">
        <v>77</v>
      </c>
      <c r="B8" s="5"/>
    </row>
    <row r="9" spans="1:2" ht="12.75">
      <c r="A9" s="5"/>
      <c r="B9" s="5"/>
    </row>
    <row r="10" spans="1:2" ht="12.75">
      <c r="A10" s="5" t="s">
        <v>78</v>
      </c>
      <c r="B10" s="5" t="s">
        <v>79</v>
      </c>
    </row>
    <row r="11" spans="1:2" ht="12.75">
      <c r="A11" s="5"/>
      <c r="B11" s="5" t="s">
        <v>80</v>
      </c>
    </row>
    <row r="12" spans="1:2" ht="12.75">
      <c r="A12" s="5"/>
      <c r="B12" s="5" t="s">
        <v>81</v>
      </c>
    </row>
    <row r="13" spans="1:2" ht="12.75">
      <c r="A13" s="5"/>
      <c r="B13" s="5"/>
    </row>
    <row r="14" spans="1:2" ht="12.75">
      <c r="A14" s="5" t="s">
        <v>82</v>
      </c>
      <c r="B14" s="5" t="s">
        <v>83</v>
      </c>
    </row>
    <row r="15" spans="1:2" ht="12.75">
      <c r="A15" s="5"/>
      <c r="B15" s="5" t="s">
        <v>84</v>
      </c>
    </row>
    <row r="16" spans="1:2" ht="12.75">
      <c r="A16" s="5"/>
      <c r="B16" s="5"/>
    </row>
    <row r="17" spans="1:2" ht="12.75">
      <c r="A17" s="5" t="s">
        <v>85</v>
      </c>
      <c r="B17" s="5"/>
    </row>
    <row r="18" spans="1:2" ht="12.75">
      <c r="A18" s="5" t="s">
        <v>86</v>
      </c>
      <c r="B18" s="5"/>
    </row>
    <row r="19" spans="1:2" ht="12.75">
      <c r="A19" s="5" t="s">
        <v>87</v>
      </c>
      <c r="B19" s="5"/>
    </row>
    <row r="20" spans="1:2" ht="12.75">
      <c r="A20" s="5" t="s">
        <v>88</v>
      </c>
      <c r="B20" s="5"/>
    </row>
    <row r="21" spans="1:2" ht="12.75">
      <c r="A21" s="5"/>
      <c r="B21" s="5"/>
    </row>
    <row r="22" spans="1:2" ht="12.75">
      <c r="A22" s="5"/>
      <c r="B22" s="5"/>
    </row>
    <row r="23" spans="1:2" ht="12.75">
      <c r="A23" s="5"/>
      <c r="B23" s="5"/>
    </row>
    <row r="24" spans="1:2" ht="12.75">
      <c r="A24" s="5"/>
      <c r="B24" s="5"/>
    </row>
    <row r="25" spans="1:2" ht="12.75">
      <c r="A25" s="5"/>
      <c r="B25" s="5"/>
    </row>
    <row r="28" spans="1:3" ht="12.75">
      <c r="A28" s="36" t="s">
        <v>102</v>
      </c>
      <c r="B28" s="36"/>
      <c r="C28" s="37">
        <f>InputSheet!I25</f>
        <v>0</v>
      </c>
    </row>
    <row r="29" spans="2:3" ht="13.5" thickBot="1">
      <c r="B29" s="34" t="s">
        <v>89</v>
      </c>
      <c r="C29" s="34" t="s">
        <v>90</v>
      </c>
    </row>
    <row r="30" spans="1:6" ht="13.5" thickTop="1">
      <c r="A30" s="35" t="s">
        <v>91</v>
      </c>
      <c r="B30" s="33" t="e">
        <f>InputSheet!J25/SQRT(InputSheet!N25)</f>
        <v>#DIV/0!</v>
      </c>
      <c r="C30" s="163">
        <v>33.59193004681026</v>
      </c>
      <c r="D30" s="207" t="s">
        <v>142</v>
      </c>
      <c r="E30" s="208"/>
      <c r="F30" s="209"/>
    </row>
    <row r="31" spans="1:6" ht="12.75">
      <c r="A31" s="35" t="s">
        <v>92</v>
      </c>
      <c r="B31" s="33" t="e">
        <f>InputSheet!K25/SQRT(InputSheet!N25)</f>
        <v>#DIV/0!</v>
      </c>
      <c r="C31" s="163">
        <v>33.59193004681026</v>
      </c>
      <c r="D31" s="210"/>
      <c r="E31" s="211"/>
      <c r="F31" s="212"/>
    </row>
    <row r="32" spans="1:6" ht="12.75">
      <c r="A32" s="35" t="s">
        <v>93</v>
      </c>
      <c r="B32" s="33" t="e">
        <f>InputSheet!L25/SQRT(InputSheet!N25)</f>
        <v>#DIV/0!</v>
      </c>
      <c r="C32" s="163">
        <v>9.32746611330024</v>
      </c>
      <c r="D32" s="210"/>
      <c r="E32" s="211"/>
      <c r="F32" s="212"/>
    </row>
    <row r="33" spans="1:6" ht="13.5" thickBot="1">
      <c r="A33" s="35" t="s">
        <v>94</v>
      </c>
      <c r="B33" s="33" t="e">
        <f>InputSheet!M25/SQRT(InputSheet!N25)</f>
        <v>#DIV/0!</v>
      </c>
      <c r="C33" s="163">
        <v>9.32746611330024</v>
      </c>
      <c r="D33" s="213"/>
      <c r="E33" s="214"/>
      <c r="F33" s="215"/>
    </row>
    <row r="34" ht="13.5" thickTop="1">
      <c r="A34" s="35"/>
    </row>
    <row r="35" spans="1:2" ht="15.75">
      <c r="A35" s="41" t="s">
        <v>100</v>
      </c>
      <c r="B35" s="24">
        <f>C28</f>
        <v>0</v>
      </c>
    </row>
    <row r="36" spans="1:2" ht="12.75">
      <c r="A36" s="35" t="s">
        <v>95</v>
      </c>
      <c r="B36" s="33">
        <f>IF(InputSheet!D$70*Calcs!C31+InputSheet!D$75*C32+InputSheet!D$77*C33=0,0,InputSheet!J25/(InputSheet!D$70*Calcs!C31+InputSheet!D$75*C32+InputSheet!D$77*C33))</f>
        <v>0</v>
      </c>
    </row>
    <row r="37" spans="1:3" ht="12.75">
      <c r="A37" s="35" t="s">
        <v>96</v>
      </c>
      <c r="B37" s="33">
        <f>IF(InputSheet!D$66*Calcs!C30+InputSheet!D$73*C32+InputSheet!D$79*C33=0,0,InputSheet!K25/(InputSheet!D$66*Calcs!C30+InputSheet!D$73*C32+InputSheet!D$79*C33))</f>
        <v>0</v>
      </c>
      <c r="C37" s="32"/>
    </row>
    <row r="38" spans="1:2" ht="12.75">
      <c r="A38" s="35" t="s">
        <v>97</v>
      </c>
      <c r="B38" s="33">
        <f>IF(InputSheet!D$65*Calcs!C30+InputSheet!D$71*C31+InputSheet!D$78*C33=0,0,InputSheet!L25/(InputSheet!D$65*Calcs!C30+InputSheet!D$71*C31+InputSheet!D$78*C33))</f>
        <v>0</v>
      </c>
    </row>
    <row r="39" spans="1:2" ht="12.75">
      <c r="A39" s="35" t="s">
        <v>98</v>
      </c>
      <c r="B39" s="33">
        <f>IF(InputSheet!D$67*Calcs!C30+InputSheet!D$69*C31+InputSheet!D$74*C32=0,0,InputSheet!M25/(InputSheet!D$67*Calcs!C30+InputSheet!D$69*C31+InputSheet!D$74*C32))</f>
        <v>0</v>
      </c>
    </row>
    <row r="40" ht="12.75">
      <c r="A40" s="35"/>
    </row>
    <row r="41" spans="1:2" ht="15.75">
      <c r="A41" s="41" t="s">
        <v>101</v>
      </c>
      <c r="B41" s="24">
        <f>B35</f>
        <v>0</v>
      </c>
    </row>
    <row r="42" spans="1:2" ht="12.75">
      <c r="A42" s="35" t="s">
        <v>91</v>
      </c>
      <c r="B42" s="33">
        <f>IF(InputSheet!D$66*Calcs!B37+InputSheet!D$65*B38+InputSheet!D$67*B39=0,0,InputSheet!J25/(InputSheet!D$66*Calcs!B37+InputSheet!D$65*B38+InputSheet!D$67*B39))</f>
        <v>0</v>
      </c>
    </row>
    <row r="43" spans="1:2" ht="12.75">
      <c r="A43" s="35" t="s">
        <v>92</v>
      </c>
      <c r="B43" s="33">
        <f>IF(InputSheet!D$70*Calcs!B36+InputSheet!D$71*B38+InputSheet!D$69*B39=0,0,InputSheet!K25/(InputSheet!D$70*Calcs!B36+InputSheet!D$71*B38+InputSheet!D$69*B39))</f>
        <v>0</v>
      </c>
    </row>
    <row r="44" spans="1:2" ht="12.75">
      <c r="A44" s="35" t="s">
        <v>93</v>
      </c>
      <c r="B44" s="33">
        <f>IF(InputSheet!D$75*Calcs!B36+InputSheet!D$73*B37+InputSheet!D$74*B39=0,0,InputSheet!L25/(InputSheet!D$75*Calcs!B36+InputSheet!D$73*B37+InputSheet!D$74*B39))</f>
        <v>0</v>
      </c>
    </row>
    <row r="45" spans="1:2" ht="12.75">
      <c r="A45" s="35" t="s">
        <v>94</v>
      </c>
      <c r="B45" s="33">
        <f>IF(InputSheet!D$77*Calcs!B36+InputSheet!D$79*B37+InputSheet!D$78*B38=0,0,InputSheet!M25/(InputSheet!D$77*Calcs!B36+InputSheet!D$79*B37+InputSheet!D$78*B38))</f>
        <v>0</v>
      </c>
    </row>
    <row r="47" spans="1:3" ht="15.75">
      <c r="A47" s="42" t="s">
        <v>114</v>
      </c>
      <c r="B47" s="43"/>
      <c r="C47" s="44"/>
    </row>
    <row r="48" spans="2:5" ht="12.75">
      <c r="B48" s="39" t="s">
        <v>103</v>
      </c>
      <c r="C48" s="39"/>
      <c r="D48" s="39" t="s">
        <v>104</v>
      </c>
      <c r="E48" s="39"/>
    </row>
    <row r="49" spans="2:5" ht="12.75">
      <c r="B49" s="39" t="s">
        <v>105</v>
      </c>
      <c r="C49" s="39"/>
      <c r="D49" s="39" t="s">
        <v>106</v>
      </c>
      <c r="E49" s="39" t="s">
        <v>107</v>
      </c>
    </row>
    <row r="50" spans="2:5" ht="12.75">
      <c r="B50" s="40" t="s">
        <v>108</v>
      </c>
      <c r="C50" s="40" t="s">
        <v>109</v>
      </c>
      <c r="D50" s="40" t="s">
        <v>110</v>
      </c>
      <c r="E50" s="40" t="s">
        <v>111</v>
      </c>
    </row>
    <row r="51" spans="2:5" ht="12.75">
      <c r="B51" s="33">
        <f>C30-B42</f>
        <v>33.59193004681026</v>
      </c>
      <c r="C51" s="33">
        <f>ABS(B51)</f>
        <v>33.59193004681026</v>
      </c>
      <c r="D51" s="4">
        <f>IF(C51&gt;InputSheet!$D$81,1,0)</f>
        <v>1</v>
      </c>
      <c r="E51" s="4"/>
    </row>
    <row r="52" spans="2:5" ht="12.75">
      <c r="B52" s="33">
        <f>C31-B43</f>
        <v>33.59193004681026</v>
      </c>
      <c r="C52" s="33">
        <f>ABS(B52)</f>
        <v>33.59193004681026</v>
      </c>
      <c r="D52" s="4">
        <f>IF(C52&gt;InputSheet!$D$81,1,0)</f>
        <v>1</v>
      </c>
      <c r="E52" s="4"/>
    </row>
    <row r="53" spans="2:5" ht="12.75">
      <c r="B53" s="33">
        <f>C32-B44</f>
        <v>9.32746611330024</v>
      </c>
      <c r="C53" s="33">
        <f>ABS(B53)</f>
        <v>9.32746611330024</v>
      </c>
      <c r="D53" s="4">
        <f>IF(C53&gt;InputSheet!$D$81,1,0)</f>
        <v>1</v>
      </c>
      <c r="E53" s="4"/>
    </row>
    <row r="54" spans="2:5" ht="12.75">
      <c r="B54" s="38">
        <f>C33-B45</f>
        <v>9.32746611330024</v>
      </c>
      <c r="C54" s="38">
        <f>ABS(B54)</f>
        <v>9.32746611330024</v>
      </c>
      <c r="D54" s="2">
        <f>IF(C54&gt;InputSheet!$D$81,1,0)</f>
        <v>1</v>
      </c>
      <c r="E54" s="2"/>
    </row>
    <row r="55" spans="2:5" ht="12.75">
      <c r="B55" s="34" t="s">
        <v>112</v>
      </c>
      <c r="C55" s="33">
        <f>MAX(C51:C54)</f>
        <v>33.59193004681026</v>
      </c>
      <c r="D55" s="4">
        <f>MAX(D51:D54)</f>
        <v>1</v>
      </c>
      <c r="E55" s="4">
        <f>IF(D55&gt;0,1,0)</f>
        <v>1</v>
      </c>
    </row>
    <row r="57" spans="1:3" ht="12.75">
      <c r="A57" s="42" t="s">
        <v>113</v>
      </c>
      <c r="B57" s="43"/>
      <c r="C57" s="44"/>
    </row>
    <row r="58" spans="2:4" ht="12.75">
      <c r="B58" s="39"/>
      <c r="C58" s="39"/>
      <c r="D58" s="39" t="s">
        <v>115</v>
      </c>
    </row>
    <row r="59" spans="2:4" ht="12.75">
      <c r="B59" s="40"/>
      <c r="C59" s="45">
        <f>C28</f>
        <v>0</v>
      </c>
      <c r="D59" s="40" t="s">
        <v>116</v>
      </c>
    </row>
    <row r="60" spans="2:4" ht="12.75">
      <c r="B60" s="4" t="s">
        <v>57</v>
      </c>
      <c r="C60" s="25">
        <f>InputSheet!D66*Calcs!B42*Calcs!B37</f>
        <v>0</v>
      </c>
      <c r="D60" s="46">
        <f>IF(C63=0,0,C60/C63)</f>
        <v>0</v>
      </c>
    </row>
    <row r="61" spans="2:4" ht="12.75">
      <c r="B61" s="4" t="s">
        <v>55</v>
      </c>
      <c r="C61" s="25">
        <f>InputSheet!D65*Calcs!B42*Calcs!B38</f>
        <v>0</v>
      </c>
      <c r="D61" s="46">
        <f>IF(C63=0,0,C61/C63)</f>
        <v>0</v>
      </c>
    </row>
    <row r="62" spans="2:4" ht="12.75">
      <c r="B62" s="4" t="s">
        <v>58</v>
      </c>
      <c r="C62" s="25">
        <f>InputSheet!D67*Calcs!B42*Calcs!B39</f>
        <v>0</v>
      </c>
      <c r="D62" s="46">
        <f>IF(C63=0,0,C62/C63)</f>
        <v>0</v>
      </c>
    </row>
    <row r="63" spans="2:4" ht="12.75">
      <c r="B63" s="4"/>
      <c r="C63" s="25">
        <f>SUM(C60:C62)</f>
        <v>0</v>
      </c>
      <c r="D63" s="46">
        <v>1</v>
      </c>
    </row>
    <row r="65" spans="2:4" ht="12.75">
      <c r="B65" s="4" t="s">
        <v>60</v>
      </c>
      <c r="C65" s="25">
        <f>InputSheet!D70*Calcs!B43*Calcs!B36</f>
        <v>0</v>
      </c>
      <c r="D65" s="46">
        <f>IF(C68=0,0,C65/C68)</f>
        <v>0</v>
      </c>
    </row>
    <row r="66" spans="2:4" ht="12.75">
      <c r="B66" s="4" t="s">
        <v>59</v>
      </c>
      <c r="C66" s="25">
        <f>InputSheet!D71*Calcs!B43*Calcs!B38</f>
        <v>0</v>
      </c>
      <c r="D66" s="46">
        <f>IF(C68=0,0,C66/C68)</f>
        <v>0</v>
      </c>
    </row>
    <row r="67" spans="2:4" ht="12.75">
      <c r="B67" s="4" t="s">
        <v>61</v>
      </c>
      <c r="C67" s="25">
        <f>InputSheet!D69*Calcs!B43*Calcs!B39</f>
        <v>0</v>
      </c>
      <c r="D67" s="46">
        <f>IF(C68=0,0,C67/C68)</f>
        <v>0</v>
      </c>
    </row>
    <row r="68" spans="2:4" ht="12.75">
      <c r="B68" s="4"/>
      <c r="C68" s="25">
        <f>SUM(C65:C67)</f>
        <v>0</v>
      </c>
      <c r="D68" s="46">
        <v>1</v>
      </c>
    </row>
    <row r="70" spans="2:4" ht="12.75">
      <c r="B70" s="4" t="s">
        <v>56</v>
      </c>
      <c r="C70" s="25">
        <f>InputSheet!D75*Calcs!B44*Calcs!B36</f>
        <v>0</v>
      </c>
      <c r="D70" s="46">
        <f>IF(C73=0,0,C70/C73)</f>
        <v>0</v>
      </c>
    </row>
    <row r="71" spans="2:4" ht="12.75">
      <c r="B71" s="4" t="s">
        <v>62</v>
      </c>
      <c r="C71" s="25">
        <f>InputSheet!D73*Calcs!B44*Calcs!B37</f>
        <v>0</v>
      </c>
      <c r="D71" s="46">
        <f>IF(C73=0,0,C71/C73)</f>
        <v>0</v>
      </c>
    </row>
    <row r="72" spans="2:4" ht="12.75">
      <c r="B72" s="4" t="s">
        <v>63</v>
      </c>
      <c r="C72" s="25">
        <f>InputSheet!D74*Calcs!B44*Calcs!B39</f>
        <v>0</v>
      </c>
      <c r="D72" s="46">
        <f>IF(C73=0,0,C72/C73)</f>
        <v>0</v>
      </c>
    </row>
    <row r="73" spans="2:4" ht="12.75">
      <c r="B73" s="4"/>
      <c r="C73" s="25">
        <f>SUM(C70:C72)</f>
        <v>0</v>
      </c>
      <c r="D73" s="46">
        <v>1</v>
      </c>
    </row>
    <row r="75" spans="2:4" ht="12.75">
      <c r="B75" s="4" t="s">
        <v>65</v>
      </c>
      <c r="C75" s="25">
        <f>InputSheet!D77*Calcs!B45*Calcs!B36</f>
        <v>0</v>
      </c>
      <c r="D75" s="46">
        <f>IF(C78=0,0,C75/C78)</f>
        <v>0</v>
      </c>
    </row>
    <row r="76" spans="2:4" ht="12.75">
      <c r="B76" s="4" t="s">
        <v>66</v>
      </c>
      <c r="C76" s="25">
        <f>InputSheet!D79*Calcs!B45*Calcs!B37</f>
        <v>0</v>
      </c>
      <c r="D76" s="46">
        <f>IF(C78=0,0,C76/C78)</f>
        <v>0</v>
      </c>
    </row>
    <row r="77" spans="2:4" ht="12.75">
      <c r="B77" s="4" t="s">
        <v>64</v>
      </c>
      <c r="C77" s="25">
        <f>InputSheet!D78*Calcs!B45*Calcs!B38</f>
        <v>0</v>
      </c>
      <c r="D77" s="46">
        <f>IF(C78=0,0,C77/C78)</f>
        <v>0</v>
      </c>
    </row>
    <row r="78" spans="3:4" ht="12.75">
      <c r="C78" s="25">
        <f>SUM(C75:C77)</f>
        <v>0</v>
      </c>
      <c r="D78" s="46">
        <v>1</v>
      </c>
    </row>
    <row r="80" spans="1:5" ht="12.75">
      <c r="A80" s="47" t="s">
        <v>128</v>
      </c>
      <c r="B80" s="43"/>
      <c r="C80" s="43"/>
      <c r="D80" s="43"/>
      <c r="E80" s="44"/>
    </row>
    <row r="82" spans="1:4" ht="12.75">
      <c r="A82" s="45" t="s">
        <v>132</v>
      </c>
      <c r="B82" s="45" t="s">
        <v>117</v>
      </c>
      <c r="C82" s="45" t="s">
        <v>89</v>
      </c>
      <c r="D82" s="45" t="s">
        <v>118</v>
      </c>
    </row>
    <row r="83" spans="1:4" ht="12.75">
      <c r="A83" s="20" t="s">
        <v>119</v>
      </c>
      <c r="B83" s="24">
        <f>C65+C70+C75</f>
        <v>0</v>
      </c>
      <c r="C83" s="24">
        <f>InputSheet!J25</f>
        <v>0</v>
      </c>
      <c r="D83" s="24">
        <f>ABS(C83-B83)</f>
        <v>0</v>
      </c>
    </row>
    <row r="84" spans="1:4" ht="12.75">
      <c r="A84" s="20" t="s">
        <v>120</v>
      </c>
      <c r="B84" s="24">
        <f>C60+C71+C76</f>
        <v>0</v>
      </c>
      <c r="C84" s="24">
        <f>InputSheet!K25</f>
        <v>0</v>
      </c>
      <c r="D84" s="24">
        <f>ABS(C84-B84)</f>
        <v>0</v>
      </c>
    </row>
    <row r="85" spans="1:4" ht="12.75">
      <c r="A85" s="20" t="s">
        <v>121</v>
      </c>
      <c r="B85" s="24">
        <f>C61+C66+C77</f>
        <v>0</v>
      </c>
      <c r="C85" s="24">
        <f>InputSheet!L25</f>
        <v>0</v>
      </c>
      <c r="D85" s="24">
        <f>ABS(C85-B85)</f>
        <v>0</v>
      </c>
    </row>
    <row r="86" spans="1:4" ht="12.75">
      <c r="A86" s="20" t="s">
        <v>122</v>
      </c>
      <c r="B86" s="24">
        <f>C62+C67+C72</f>
        <v>0</v>
      </c>
      <c r="C86" s="24">
        <f>InputSheet!M25</f>
        <v>0</v>
      </c>
      <c r="D86" s="24">
        <f>ABS(C86-B86)</f>
        <v>0</v>
      </c>
    </row>
    <row r="87" spans="1:5" ht="12.75">
      <c r="A87" s="20" t="s">
        <v>123</v>
      </c>
      <c r="B87" s="24">
        <f>SUM(B83:B86)</f>
        <v>0</v>
      </c>
      <c r="C87" s="24">
        <f>SUM(C83:C86)</f>
        <v>0</v>
      </c>
      <c r="D87" s="24">
        <f>SUM(D83:D86)</f>
        <v>0</v>
      </c>
      <c r="E87" t="str">
        <f>IF(D87&gt;=2,"*Try Smaller Closure","OK")</f>
        <v>OK</v>
      </c>
    </row>
    <row r="88" spans="1:4" ht="12.75">
      <c r="A88" s="45" t="s">
        <v>130</v>
      </c>
      <c r="B88" s="45" t="s">
        <v>117</v>
      </c>
      <c r="C88" s="45" t="s">
        <v>89</v>
      </c>
      <c r="D88" s="45" t="s">
        <v>118</v>
      </c>
    </row>
    <row r="89" spans="1:4" ht="12.75">
      <c r="A89" s="20" t="s">
        <v>124</v>
      </c>
      <c r="B89" s="24">
        <f>C63</f>
        <v>0</v>
      </c>
      <c r="C89" s="24">
        <f>C83</f>
        <v>0</v>
      </c>
      <c r="D89" s="24">
        <f>ABS(C89-B89)</f>
        <v>0</v>
      </c>
    </row>
    <row r="90" spans="1:4" ht="12.75">
      <c r="A90" s="20" t="s">
        <v>125</v>
      </c>
      <c r="B90" s="24">
        <f>C68</f>
        <v>0</v>
      </c>
      <c r="C90" s="24">
        <f>C84</f>
        <v>0</v>
      </c>
      <c r="D90" s="24">
        <f>ABS(C90-B90)</f>
        <v>0</v>
      </c>
    </row>
    <row r="91" spans="1:4" ht="12.75">
      <c r="A91" s="20" t="s">
        <v>126</v>
      </c>
      <c r="B91" s="24">
        <f>C73</f>
        <v>0</v>
      </c>
      <c r="C91" s="24">
        <f>C85</f>
        <v>0</v>
      </c>
      <c r="D91" s="24">
        <f>ABS(C91-B91)</f>
        <v>0</v>
      </c>
    </row>
    <row r="92" spans="1:4" ht="12.75">
      <c r="A92" s="20" t="s">
        <v>127</v>
      </c>
      <c r="B92" s="24">
        <f>C78</f>
        <v>0</v>
      </c>
      <c r="C92" s="24">
        <f>C86</f>
        <v>0</v>
      </c>
      <c r="D92" s="24">
        <f>ABS(C92-B92)</f>
        <v>0</v>
      </c>
    </row>
    <row r="93" spans="1:5" ht="12.75">
      <c r="A93" s="20" t="s">
        <v>123</v>
      </c>
      <c r="B93" s="4">
        <v>69500</v>
      </c>
      <c r="C93" s="24">
        <f>SUM(C89:C92)</f>
        <v>0</v>
      </c>
      <c r="D93" s="24">
        <f>SUM(D89:D92)</f>
        <v>0</v>
      </c>
      <c r="E93" t="str">
        <f>IF(D93&gt;=2,"*Try Smaller Closure","OK")</f>
        <v>OK</v>
      </c>
    </row>
    <row r="95" ht="12.75">
      <c r="A95" s="48" t="s">
        <v>137</v>
      </c>
    </row>
    <row r="96" ht="12.75">
      <c r="E96" s="39" t="s">
        <v>129</v>
      </c>
    </row>
    <row r="97" spans="1:5" ht="12.75">
      <c r="A97" s="45" t="s">
        <v>130</v>
      </c>
      <c r="B97" s="45" t="s">
        <v>131</v>
      </c>
      <c r="C97" s="45" t="s">
        <v>132</v>
      </c>
      <c r="D97" s="45" t="s">
        <v>131</v>
      </c>
      <c r="E97" s="45" t="s">
        <v>110</v>
      </c>
    </row>
    <row r="98" spans="1:5" ht="12.75">
      <c r="A98" s="20" t="s">
        <v>124</v>
      </c>
      <c r="B98" s="24">
        <f>C83</f>
        <v>0</v>
      </c>
      <c r="C98" s="4" t="s">
        <v>133</v>
      </c>
      <c r="D98" s="22">
        <f>InputSheet!K$25+InputSheet!L$25+InputSheet!M$25</f>
        <v>0</v>
      </c>
      <c r="E98" s="4">
        <f>IF(B98&gt;D98,1,0)</f>
        <v>0</v>
      </c>
    </row>
    <row r="99" spans="1:5" ht="12.75">
      <c r="A99" s="20" t="s">
        <v>125</v>
      </c>
      <c r="B99" s="4">
        <f>C84</f>
        <v>0</v>
      </c>
      <c r="C99" s="4" t="s">
        <v>134</v>
      </c>
      <c r="D99" s="22">
        <f>InputSheet!J$25+InputSheet!L$25+InputSheet!M$25</f>
        <v>0</v>
      </c>
      <c r="E99" s="4">
        <f>IF(B99&gt;D99,1,0)</f>
        <v>0</v>
      </c>
    </row>
    <row r="100" spans="1:5" ht="12.75">
      <c r="A100" s="20" t="s">
        <v>126</v>
      </c>
      <c r="B100" s="4">
        <f>C85</f>
        <v>0</v>
      </c>
      <c r="C100" s="4" t="s">
        <v>135</v>
      </c>
      <c r="D100" s="22">
        <f>InputSheet!J$25+InputSheet!K$25+InputSheet!M$25</f>
        <v>0</v>
      </c>
      <c r="E100" s="4">
        <f>IF(B100&gt;D100,1,0)</f>
        <v>0</v>
      </c>
    </row>
    <row r="101" spans="1:5" ht="12.75">
      <c r="A101" s="20" t="s">
        <v>127</v>
      </c>
      <c r="B101" s="4">
        <f>C86</f>
        <v>0</v>
      </c>
      <c r="C101" s="4" t="s">
        <v>136</v>
      </c>
      <c r="D101" s="22">
        <f>InputSheet!J$25+InputSheet!K$25+InputSheet!L$25</f>
        <v>0</v>
      </c>
      <c r="E101" s="4">
        <f>IF(B101&gt;D101,1,0)</f>
        <v>0</v>
      </c>
    </row>
    <row r="102" spans="5:6" ht="12.75">
      <c r="E102" s="4">
        <f>MAX(E98:E101)</f>
        <v>0</v>
      </c>
      <c r="F102" t="str">
        <f>IF(E102&gt;=2,"*Try Smaller Closure","OK")</f>
        <v>OK</v>
      </c>
    </row>
    <row r="103" ht="12.75">
      <c r="B103" s="20" t="s">
        <v>138</v>
      </c>
    </row>
    <row r="108" spans="1:3" ht="12.75">
      <c r="A108" s="36" t="s">
        <v>139</v>
      </c>
      <c r="B108" s="36"/>
      <c r="C108" s="37">
        <f>InputSheet!I26</f>
        <v>0</v>
      </c>
    </row>
    <row r="109" spans="2:3" ht="13.5" thickBot="1">
      <c r="B109" s="34" t="s">
        <v>89</v>
      </c>
      <c r="C109" s="34" t="s">
        <v>90</v>
      </c>
    </row>
    <row r="110" spans="1:6" ht="13.5" customHeight="1" thickTop="1">
      <c r="A110" s="35" t="s">
        <v>91</v>
      </c>
      <c r="B110" s="33" t="e">
        <f>InputSheet!J26/SQRT(InputSheet!N26)</f>
        <v>#DIV/0!</v>
      </c>
      <c r="C110" s="163">
        <v>37.08758750175873</v>
      </c>
      <c r="D110" s="207" t="s">
        <v>142</v>
      </c>
      <c r="E110" s="208"/>
      <c r="F110" s="209"/>
    </row>
    <row r="111" spans="1:6" ht="12.75">
      <c r="A111" s="35" t="s">
        <v>92</v>
      </c>
      <c r="B111" s="33" t="e">
        <f>InputSheet!K26/SQRT(InputSheet!N26)</f>
        <v>#DIV/0!</v>
      </c>
      <c r="C111" s="163">
        <v>37.08758750175873</v>
      </c>
      <c r="D111" s="210"/>
      <c r="E111" s="211"/>
      <c r="F111" s="212"/>
    </row>
    <row r="112" spans="1:6" ht="12.75">
      <c r="A112" s="35" t="s">
        <v>93</v>
      </c>
      <c r="B112" s="33" t="e">
        <f>InputSheet!L26/SQRT(InputSheet!N26)</f>
        <v>#DIV/0!</v>
      </c>
      <c r="C112" s="163">
        <v>13.815540134395041</v>
      </c>
      <c r="D112" s="210"/>
      <c r="E112" s="211"/>
      <c r="F112" s="212"/>
    </row>
    <row r="113" spans="1:6" ht="13.5" thickBot="1">
      <c r="A113" s="35" t="s">
        <v>94</v>
      </c>
      <c r="B113" s="33" t="e">
        <f>InputSheet!M26/SQRT(InputSheet!N26)</f>
        <v>#DIV/0!</v>
      </c>
      <c r="C113" s="163">
        <v>13.815540134395041</v>
      </c>
      <c r="D113" s="213"/>
      <c r="E113" s="214"/>
      <c r="F113" s="215"/>
    </row>
    <row r="114" ht="13.5" thickTop="1">
      <c r="A114" s="35"/>
    </row>
    <row r="115" spans="1:2" ht="15.75">
      <c r="A115" s="41" t="s">
        <v>100</v>
      </c>
      <c r="B115" s="24">
        <f>C108</f>
        <v>0</v>
      </c>
    </row>
    <row r="116" spans="1:2" ht="12.75">
      <c r="A116" s="35" t="s">
        <v>95</v>
      </c>
      <c r="B116" s="33" t="e">
        <f>IF(InputSheet!D$70*Calcs!C111+InputSheet!D$75*C112+InputSheet!D$77*C113=0,0,InputSheet!J26/(InputSheet!D$70*Calcs!C111+InputSheet!D$75*C112+InputSheet!D$77*C113))</f>
        <v>#DIV/0!</v>
      </c>
    </row>
    <row r="117" spans="1:3" ht="12.75">
      <c r="A117" s="35" t="s">
        <v>96</v>
      </c>
      <c r="B117" s="33" t="e">
        <f>IF(InputSheet!D$66*Calcs!C110+InputSheet!D$73*C112+InputSheet!D$79*C113=0,0,InputSheet!K26/(InputSheet!D$66*Calcs!C110+InputSheet!D$73*C112+InputSheet!D$79*C113))</f>
        <v>#DIV/0!</v>
      </c>
      <c r="C117" s="32"/>
    </row>
    <row r="118" spans="1:2" ht="12.75">
      <c r="A118" s="35" t="s">
        <v>97</v>
      </c>
      <c r="B118" s="33" t="e">
        <f>IF(InputSheet!D$65*Calcs!C110+InputSheet!D$71*C111+InputSheet!D$78*C113=0,0,InputSheet!L26/(InputSheet!D$65*Calcs!C110+InputSheet!D$71*C111+InputSheet!D$78*C113))</f>
        <v>#DIV/0!</v>
      </c>
    </row>
    <row r="119" spans="1:2" ht="12.75">
      <c r="A119" s="35" t="s">
        <v>98</v>
      </c>
      <c r="B119" s="33" t="e">
        <f>IF(InputSheet!D$67*Calcs!C110+InputSheet!D$69*C111+InputSheet!D$74*C112=0,0,InputSheet!M26/(InputSheet!D$67*Calcs!C110+InputSheet!D$69*C111+InputSheet!D$74*C112))</f>
        <v>#DIV/0!</v>
      </c>
    </row>
    <row r="120" ht="12.75">
      <c r="A120" s="35"/>
    </row>
    <row r="121" spans="1:2" ht="15.75">
      <c r="A121" s="41" t="s">
        <v>101</v>
      </c>
      <c r="B121" s="24">
        <f>B115</f>
        <v>0</v>
      </c>
    </row>
    <row r="122" spans="1:2" ht="12.75">
      <c r="A122" s="35" t="s">
        <v>91</v>
      </c>
      <c r="B122" s="33" t="e">
        <f>IF(InputSheet!D$66*Calcs!B117+InputSheet!D$65*B118+InputSheet!D$67*B119=0,0,InputSheet!J26/(InputSheet!D$66*Calcs!B117+InputSheet!D$65*B118+InputSheet!D$67*B119))</f>
        <v>#DIV/0!</v>
      </c>
    </row>
    <row r="123" spans="1:2" ht="12.75">
      <c r="A123" s="35" t="s">
        <v>92</v>
      </c>
      <c r="B123" s="33" t="e">
        <f>IF(InputSheet!D$70*Calcs!B116+InputSheet!D$71*B118+InputSheet!D$69*B119=0,0,InputSheet!K26/(InputSheet!D$70*Calcs!B116+InputSheet!D$71*B118+InputSheet!D$69*B119))</f>
        <v>#DIV/0!</v>
      </c>
    </row>
    <row r="124" spans="1:2" ht="12.75">
      <c r="A124" s="35" t="s">
        <v>93</v>
      </c>
      <c r="B124" s="33" t="e">
        <f>IF(InputSheet!D$75*Calcs!B116+InputSheet!D$73*B117+InputSheet!D$74*B119=0,0,InputSheet!L26/(InputSheet!D$75*Calcs!B116+InputSheet!D$73*B117+InputSheet!D$74*B119))</f>
        <v>#DIV/0!</v>
      </c>
    </row>
    <row r="125" spans="1:2" ht="12.75">
      <c r="A125" s="35" t="s">
        <v>94</v>
      </c>
      <c r="B125" s="33" t="e">
        <f>IF(InputSheet!D$77*Calcs!B116+InputSheet!D$79*B117+InputSheet!D$78*B118=0,0,InputSheet!M26/(InputSheet!D$77*Calcs!B116+InputSheet!D$79*B117+InputSheet!D$78*B118))</f>
        <v>#DIV/0!</v>
      </c>
    </row>
    <row r="127" spans="1:3" ht="15.75">
      <c r="A127" s="42" t="s">
        <v>114</v>
      </c>
      <c r="B127" s="43"/>
      <c r="C127" s="44"/>
    </row>
    <row r="128" spans="2:5" ht="12.75">
      <c r="B128" s="39" t="s">
        <v>103</v>
      </c>
      <c r="C128" s="39"/>
      <c r="D128" s="39" t="s">
        <v>104</v>
      </c>
      <c r="E128" s="39"/>
    </row>
    <row r="129" spans="2:5" ht="12.75">
      <c r="B129" s="39" t="s">
        <v>105</v>
      </c>
      <c r="C129" s="39"/>
      <c r="D129" s="39" t="s">
        <v>106</v>
      </c>
      <c r="E129" s="39" t="s">
        <v>107</v>
      </c>
    </row>
    <row r="130" spans="2:5" ht="12.75">
      <c r="B130" s="40" t="s">
        <v>108</v>
      </c>
      <c r="C130" s="40" t="s">
        <v>109</v>
      </c>
      <c r="D130" s="40" t="s">
        <v>110</v>
      </c>
      <c r="E130" s="40" t="s">
        <v>111</v>
      </c>
    </row>
    <row r="131" spans="2:5" ht="12.75">
      <c r="B131" s="33" t="e">
        <f>C110-B122</f>
        <v>#DIV/0!</v>
      </c>
      <c r="C131" s="33" t="e">
        <f>ABS(B131)</f>
        <v>#DIV/0!</v>
      </c>
      <c r="D131" s="4" t="e">
        <f>IF(C131&gt;InputSheet!$D$81,1,0)</f>
        <v>#DIV/0!</v>
      </c>
      <c r="E131" s="4"/>
    </row>
    <row r="132" spans="2:5" ht="12.75">
      <c r="B132" s="33" t="e">
        <f>C111-B123</f>
        <v>#DIV/0!</v>
      </c>
      <c r="C132" s="33" t="e">
        <f>ABS(B132)</f>
        <v>#DIV/0!</v>
      </c>
      <c r="D132" s="4" t="e">
        <f>IF(C132&gt;InputSheet!$D$81,1,0)</f>
        <v>#DIV/0!</v>
      </c>
      <c r="E132" s="4"/>
    </row>
    <row r="133" spans="2:5" ht="12.75">
      <c r="B133" s="33" t="e">
        <f>C112-B124</f>
        <v>#DIV/0!</v>
      </c>
      <c r="C133" s="33" t="e">
        <f>ABS(B133)</f>
        <v>#DIV/0!</v>
      </c>
      <c r="D133" s="4" t="e">
        <f>IF(C133&gt;InputSheet!$D$81,1,0)</f>
        <v>#DIV/0!</v>
      </c>
      <c r="E133" s="4"/>
    </row>
    <row r="134" spans="2:5" ht="12.75">
      <c r="B134" s="38" t="e">
        <f>C113-B125</f>
        <v>#DIV/0!</v>
      </c>
      <c r="C134" s="38" t="e">
        <f>ABS(B134)</f>
        <v>#DIV/0!</v>
      </c>
      <c r="D134" s="2" t="e">
        <f>IF(C134&gt;InputSheet!$D$81,1,0)</f>
        <v>#DIV/0!</v>
      </c>
      <c r="E134" s="2"/>
    </row>
    <row r="135" spans="2:5" ht="12.75">
      <c r="B135" s="34" t="s">
        <v>112</v>
      </c>
      <c r="C135" s="33" t="e">
        <f>MAX(C131:C134)</f>
        <v>#DIV/0!</v>
      </c>
      <c r="D135" s="4" t="e">
        <f>MAX(D131:D134)</f>
        <v>#DIV/0!</v>
      </c>
      <c r="E135" s="4" t="e">
        <f>IF(D135&gt;0,1,0)</f>
        <v>#DIV/0!</v>
      </c>
    </row>
    <row r="137" spans="1:3" ht="12.75">
      <c r="A137" s="42" t="s">
        <v>113</v>
      </c>
      <c r="B137" s="43"/>
      <c r="C137" s="44"/>
    </row>
    <row r="138" spans="2:4" ht="12.75">
      <c r="B138" s="39"/>
      <c r="C138" s="39"/>
      <c r="D138" s="39" t="s">
        <v>115</v>
      </c>
    </row>
    <row r="139" spans="2:4" ht="12.75">
      <c r="B139" s="40"/>
      <c r="C139" s="45">
        <f>C108</f>
        <v>0</v>
      </c>
      <c r="D139" s="40" t="s">
        <v>116</v>
      </c>
    </row>
    <row r="140" spans="2:4" ht="12.75">
      <c r="B140" s="4" t="s">
        <v>57</v>
      </c>
      <c r="C140" s="25" t="e">
        <f>InputSheet!D$66*Calcs!B122*Calcs!B117</f>
        <v>#DIV/0!</v>
      </c>
      <c r="D140" s="46" t="e">
        <f>IF(C143=0,0,C140/C143)</f>
        <v>#DIV/0!</v>
      </c>
    </row>
    <row r="141" spans="2:4" ht="12.75">
      <c r="B141" s="4" t="s">
        <v>55</v>
      </c>
      <c r="C141" s="25" t="e">
        <f>InputSheet!D$65*Calcs!B122*Calcs!B118</f>
        <v>#DIV/0!</v>
      </c>
      <c r="D141" s="46" t="e">
        <f>IF(C143=0,0,C141/C143)</f>
        <v>#DIV/0!</v>
      </c>
    </row>
    <row r="142" spans="2:4" ht="12.75">
      <c r="B142" s="4" t="s">
        <v>58</v>
      </c>
      <c r="C142" s="25" t="e">
        <f>InputSheet!D$67*Calcs!B122*Calcs!B119</f>
        <v>#DIV/0!</v>
      </c>
      <c r="D142" s="46" t="e">
        <f>IF(C143=0,0,C142/C143)</f>
        <v>#DIV/0!</v>
      </c>
    </row>
    <row r="143" spans="2:4" ht="12.75">
      <c r="B143" s="4"/>
      <c r="C143" s="25" t="e">
        <f>SUM(C140:C142)</f>
        <v>#DIV/0!</v>
      </c>
      <c r="D143" s="46">
        <v>1</v>
      </c>
    </row>
    <row r="145" spans="2:4" ht="12.75">
      <c r="B145" s="4" t="s">
        <v>60</v>
      </c>
      <c r="C145" s="25" t="e">
        <f>InputSheet!D$70*Calcs!B123*Calcs!B116</f>
        <v>#DIV/0!</v>
      </c>
      <c r="D145" s="46" t="e">
        <f>IF(C148=0,0,C145/C148)</f>
        <v>#DIV/0!</v>
      </c>
    </row>
    <row r="146" spans="2:4" ht="12.75">
      <c r="B146" s="4" t="s">
        <v>59</v>
      </c>
      <c r="C146" s="25" t="e">
        <f>InputSheet!D$71*Calcs!B123*Calcs!B118</f>
        <v>#DIV/0!</v>
      </c>
      <c r="D146" s="46" t="e">
        <f>IF(C148=0,0,C146/C148)</f>
        <v>#DIV/0!</v>
      </c>
    </row>
    <row r="147" spans="2:4" ht="12.75">
      <c r="B147" s="4" t="s">
        <v>61</v>
      </c>
      <c r="C147" s="25" t="e">
        <f>InputSheet!D$69*Calcs!B123*Calcs!B119</f>
        <v>#DIV/0!</v>
      </c>
      <c r="D147" s="46" t="e">
        <f>IF(C148=0,0,C147/C148)</f>
        <v>#DIV/0!</v>
      </c>
    </row>
    <row r="148" spans="2:4" ht="12.75">
      <c r="B148" s="4"/>
      <c r="C148" s="25" t="e">
        <f>SUM(C145:C147)</f>
        <v>#DIV/0!</v>
      </c>
      <c r="D148" s="46">
        <v>1</v>
      </c>
    </row>
    <row r="150" spans="2:4" ht="12.75">
      <c r="B150" s="4" t="s">
        <v>56</v>
      </c>
      <c r="C150" s="25" t="e">
        <f>InputSheet!D$75*Calcs!B124*Calcs!B116</f>
        <v>#DIV/0!</v>
      </c>
      <c r="D150" s="46" t="e">
        <f>IF(C153=0,0,C150/C153)</f>
        <v>#DIV/0!</v>
      </c>
    </row>
    <row r="151" spans="2:4" ht="12.75">
      <c r="B151" s="4" t="s">
        <v>62</v>
      </c>
      <c r="C151" s="25" t="e">
        <f>InputSheet!D$73*Calcs!B124*Calcs!B117</f>
        <v>#DIV/0!</v>
      </c>
      <c r="D151" s="46" t="e">
        <f>IF(C153=0,0,C151/C153)</f>
        <v>#DIV/0!</v>
      </c>
    </row>
    <row r="152" spans="2:4" ht="12.75">
      <c r="B152" s="4" t="s">
        <v>63</v>
      </c>
      <c r="C152" s="25" t="e">
        <f>InputSheet!D$74*Calcs!B124*Calcs!B119</f>
        <v>#DIV/0!</v>
      </c>
      <c r="D152" s="46" t="e">
        <f>IF(C153=0,0,C152/C153)</f>
        <v>#DIV/0!</v>
      </c>
    </row>
    <row r="153" spans="2:4" ht="12.75">
      <c r="B153" s="4"/>
      <c r="C153" s="25" t="e">
        <f>SUM(C150:C152)</f>
        <v>#DIV/0!</v>
      </c>
      <c r="D153" s="46">
        <v>1</v>
      </c>
    </row>
    <row r="155" spans="2:4" ht="12.75">
      <c r="B155" s="4" t="s">
        <v>65</v>
      </c>
      <c r="C155" s="25" t="e">
        <f>InputSheet!D$77*Calcs!B125*Calcs!B116</f>
        <v>#DIV/0!</v>
      </c>
      <c r="D155" s="46" t="e">
        <f>IF(C158=0,0,C155/C158)</f>
        <v>#DIV/0!</v>
      </c>
    </row>
    <row r="156" spans="2:4" ht="12.75">
      <c r="B156" s="4" t="s">
        <v>66</v>
      </c>
      <c r="C156" s="25" t="e">
        <f>InputSheet!D$79*Calcs!B125*Calcs!B117</f>
        <v>#DIV/0!</v>
      </c>
      <c r="D156" s="46" t="e">
        <f>IF(C158=0,0,C156/C158)</f>
        <v>#DIV/0!</v>
      </c>
    </row>
    <row r="157" spans="2:4" ht="12.75">
      <c r="B157" s="4" t="s">
        <v>64</v>
      </c>
      <c r="C157" s="25" t="e">
        <f>InputSheet!D$78*Calcs!B125*Calcs!B118</f>
        <v>#DIV/0!</v>
      </c>
      <c r="D157" s="46" t="e">
        <f>IF(C158=0,0,C157/C158)</f>
        <v>#DIV/0!</v>
      </c>
    </row>
    <row r="158" spans="3:4" ht="12.75">
      <c r="C158" s="25" t="e">
        <f>SUM(C155:C157)</f>
        <v>#DIV/0!</v>
      </c>
      <c r="D158" s="46">
        <v>1</v>
      </c>
    </row>
    <row r="160" spans="1:5" ht="12.75">
      <c r="A160" s="47" t="s">
        <v>128</v>
      </c>
      <c r="B160" s="43"/>
      <c r="C160" s="43"/>
      <c r="D160" s="43"/>
      <c r="E160" s="44"/>
    </row>
    <row r="162" spans="1:4" ht="12.75">
      <c r="A162" s="45" t="s">
        <v>132</v>
      </c>
      <c r="B162" s="45" t="s">
        <v>117</v>
      </c>
      <c r="C162" s="45" t="s">
        <v>89</v>
      </c>
      <c r="D162" s="45" t="s">
        <v>118</v>
      </c>
    </row>
    <row r="163" spans="1:4" ht="12.75">
      <c r="A163" s="20" t="s">
        <v>119</v>
      </c>
      <c r="B163" s="24" t="e">
        <f>C145+C150+C155</f>
        <v>#DIV/0!</v>
      </c>
      <c r="C163" s="24" t="e">
        <f>InputSheet!J26</f>
        <v>#DIV/0!</v>
      </c>
      <c r="D163" s="24" t="e">
        <f>ABS(C163-B163)</f>
        <v>#DIV/0!</v>
      </c>
    </row>
    <row r="164" spans="1:4" ht="12.75">
      <c r="A164" s="20" t="s">
        <v>120</v>
      </c>
      <c r="B164" s="24" t="e">
        <f>C140+C151+C156</f>
        <v>#DIV/0!</v>
      </c>
      <c r="C164" s="24" t="e">
        <f>InputSheet!K26</f>
        <v>#DIV/0!</v>
      </c>
      <c r="D164" s="24" t="e">
        <f>ABS(C164-B164)</f>
        <v>#DIV/0!</v>
      </c>
    </row>
    <row r="165" spans="1:4" ht="12.75">
      <c r="A165" s="20" t="s">
        <v>121</v>
      </c>
      <c r="B165" s="24" t="e">
        <f>C141+C146+C157</f>
        <v>#DIV/0!</v>
      </c>
      <c r="C165" s="24" t="e">
        <f>InputSheet!L26</f>
        <v>#DIV/0!</v>
      </c>
      <c r="D165" s="24" t="e">
        <f>ABS(C165-B165)</f>
        <v>#DIV/0!</v>
      </c>
    </row>
    <row r="166" spans="1:4" ht="12.75">
      <c r="A166" s="20" t="s">
        <v>122</v>
      </c>
      <c r="B166" s="24" t="e">
        <f>C142+C147+C152</f>
        <v>#DIV/0!</v>
      </c>
      <c r="C166" s="24" t="e">
        <f>InputSheet!M26</f>
        <v>#DIV/0!</v>
      </c>
      <c r="D166" s="24" t="e">
        <f>ABS(C166-B166)</f>
        <v>#DIV/0!</v>
      </c>
    </row>
    <row r="167" spans="1:5" ht="12.75">
      <c r="A167" s="20" t="s">
        <v>123</v>
      </c>
      <c r="B167" s="24" t="e">
        <f>SUM(B163:B166)</f>
        <v>#DIV/0!</v>
      </c>
      <c r="C167" s="24" t="e">
        <f>SUM(C163:C166)</f>
        <v>#DIV/0!</v>
      </c>
      <c r="D167" s="24" t="e">
        <f>SUM(D163:D166)</f>
        <v>#DIV/0!</v>
      </c>
      <c r="E167" t="e">
        <f>IF(D167&gt;=2,"*Try Smaller Closure","OK")</f>
        <v>#DIV/0!</v>
      </c>
    </row>
    <row r="168" spans="1:4" ht="12.75">
      <c r="A168" s="45" t="s">
        <v>130</v>
      </c>
      <c r="B168" s="45" t="s">
        <v>117</v>
      </c>
      <c r="C168" s="45" t="s">
        <v>89</v>
      </c>
      <c r="D168" s="45" t="s">
        <v>118</v>
      </c>
    </row>
    <row r="169" spans="1:4" ht="12.75">
      <c r="A169" s="20" t="s">
        <v>124</v>
      </c>
      <c r="B169" s="24" t="e">
        <f>C143</f>
        <v>#DIV/0!</v>
      </c>
      <c r="C169" s="24" t="e">
        <f>C163</f>
        <v>#DIV/0!</v>
      </c>
      <c r="D169" s="24" t="e">
        <f>ABS(C169-B169)</f>
        <v>#DIV/0!</v>
      </c>
    </row>
    <row r="170" spans="1:4" ht="12.75">
      <c r="A170" s="20" t="s">
        <v>125</v>
      </c>
      <c r="B170" s="24" t="e">
        <f>C148</f>
        <v>#DIV/0!</v>
      </c>
      <c r="C170" s="24" t="e">
        <f>C164</f>
        <v>#DIV/0!</v>
      </c>
      <c r="D170" s="24" t="e">
        <f>ABS(C170-B170)</f>
        <v>#DIV/0!</v>
      </c>
    </row>
    <row r="171" spans="1:4" ht="12.75">
      <c r="A171" s="20" t="s">
        <v>126</v>
      </c>
      <c r="B171" s="24" t="e">
        <f>C153</f>
        <v>#DIV/0!</v>
      </c>
      <c r="C171" s="24" t="e">
        <f>C165</f>
        <v>#DIV/0!</v>
      </c>
      <c r="D171" s="24" t="e">
        <f>ABS(C171-B171)</f>
        <v>#DIV/0!</v>
      </c>
    </row>
    <row r="172" spans="1:4" ht="12.75">
      <c r="A172" s="20" t="s">
        <v>127</v>
      </c>
      <c r="B172" s="24" t="e">
        <f>C158</f>
        <v>#DIV/0!</v>
      </c>
      <c r="C172" s="24" t="e">
        <f>C166</f>
        <v>#DIV/0!</v>
      </c>
      <c r="D172" s="24" t="e">
        <f>ABS(C172-B172)</f>
        <v>#DIV/0!</v>
      </c>
    </row>
    <row r="173" spans="1:5" ht="12.75">
      <c r="A173" s="20" t="s">
        <v>123</v>
      </c>
      <c r="B173" s="4">
        <v>69500</v>
      </c>
      <c r="C173" s="24" t="e">
        <f>SUM(C169:C172)</f>
        <v>#DIV/0!</v>
      </c>
      <c r="D173" s="24" t="e">
        <f>SUM(D169:D172)</f>
        <v>#DIV/0!</v>
      </c>
      <c r="E173" t="e">
        <f>IF(D173&gt;=2,"*Try Smaller Closure","OK")</f>
        <v>#DIV/0!</v>
      </c>
    </row>
    <row r="175" ht="12.75">
      <c r="A175" s="48" t="s">
        <v>137</v>
      </c>
    </row>
    <row r="176" ht="12.75">
      <c r="E176" s="39" t="s">
        <v>129</v>
      </c>
    </row>
    <row r="177" spans="1:5" ht="12.75">
      <c r="A177" s="45" t="s">
        <v>130</v>
      </c>
      <c r="B177" s="45" t="s">
        <v>131</v>
      </c>
      <c r="C177" s="45" t="s">
        <v>132</v>
      </c>
      <c r="D177" s="45" t="s">
        <v>131</v>
      </c>
      <c r="E177" s="45" t="s">
        <v>110</v>
      </c>
    </row>
    <row r="178" spans="1:5" ht="12.75">
      <c r="A178" s="20" t="s">
        <v>124</v>
      </c>
      <c r="B178" s="24" t="e">
        <f>C163</f>
        <v>#DIV/0!</v>
      </c>
      <c r="C178" s="4" t="s">
        <v>133</v>
      </c>
      <c r="D178" s="22" t="e">
        <f>InputSheet!K$26+InputSheet!L$26+InputSheet!M$26</f>
        <v>#DIV/0!</v>
      </c>
      <c r="E178" s="4" t="e">
        <f>IF(B178&gt;D178,1,0)</f>
        <v>#DIV/0!</v>
      </c>
    </row>
    <row r="179" spans="1:5" ht="12.75">
      <c r="A179" s="20" t="s">
        <v>125</v>
      </c>
      <c r="B179" s="4" t="e">
        <f>C164</f>
        <v>#DIV/0!</v>
      </c>
      <c r="C179" s="4" t="s">
        <v>134</v>
      </c>
      <c r="D179" s="22" t="e">
        <f>InputSheet!J$26+InputSheet!L$26+InputSheet!M$26</f>
        <v>#DIV/0!</v>
      </c>
      <c r="E179" s="4" t="e">
        <f>IF(B179&gt;D179,1,0)</f>
        <v>#DIV/0!</v>
      </c>
    </row>
    <row r="180" spans="1:5" ht="12.75">
      <c r="A180" s="20" t="s">
        <v>126</v>
      </c>
      <c r="B180" s="4" t="e">
        <f>C165</f>
        <v>#DIV/0!</v>
      </c>
      <c r="C180" s="4" t="s">
        <v>135</v>
      </c>
      <c r="D180" s="22" t="e">
        <f>InputSheet!J$26+InputSheet!K$26+InputSheet!M$26</f>
        <v>#DIV/0!</v>
      </c>
      <c r="E180" s="4" t="e">
        <f>IF(B180&gt;D180,1,0)</f>
        <v>#DIV/0!</v>
      </c>
    </row>
    <row r="181" spans="1:5" ht="12.75">
      <c r="A181" s="20" t="s">
        <v>127</v>
      </c>
      <c r="B181" s="4" t="e">
        <f>C166</f>
        <v>#DIV/0!</v>
      </c>
      <c r="C181" s="4" t="s">
        <v>136</v>
      </c>
      <c r="D181" s="22" t="e">
        <f>InputSheet!J$26+InputSheet!K$26+InputSheet!L$26</f>
        <v>#DIV/0!</v>
      </c>
      <c r="E181" s="4" t="e">
        <f>IF(B181&gt;D181,1,0)</f>
        <v>#DIV/0!</v>
      </c>
    </row>
    <row r="182" spans="5:6" ht="12.75">
      <c r="E182" s="4" t="e">
        <f>MAX(E178:E181)</f>
        <v>#DIV/0!</v>
      </c>
      <c r="F182" t="e">
        <f>IF(E182&gt;=2,"*Try Smaller Closure","OK")</f>
        <v>#DIV/0!</v>
      </c>
    </row>
    <row r="183" ht="12.75">
      <c r="B183" s="20" t="s">
        <v>140</v>
      </c>
    </row>
    <row r="188" spans="1:3" ht="12.75">
      <c r="A188" s="36" t="s">
        <v>141</v>
      </c>
      <c r="B188" s="36"/>
      <c r="C188" s="37">
        <f>InputSheet!I27</f>
        <v>0</v>
      </c>
    </row>
    <row r="189" spans="2:3" ht="13.5" thickBot="1">
      <c r="B189" s="34" t="s">
        <v>89</v>
      </c>
      <c r="C189" s="34" t="s">
        <v>90</v>
      </c>
    </row>
    <row r="190" spans="1:6" ht="13.5" customHeight="1" thickTop="1">
      <c r="A190" s="35" t="s">
        <v>91</v>
      </c>
      <c r="B190" s="33" t="e">
        <f>InputSheet!J27/SQRT(InputSheet!N27)</f>
        <v>#DIV/0!</v>
      </c>
      <c r="C190" s="163">
        <v>40.288053435019926</v>
      </c>
      <c r="D190" s="207" t="s">
        <v>142</v>
      </c>
      <c r="E190" s="208"/>
      <c r="F190" s="209"/>
    </row>
    <row r="191" spans="1:6" ht="12.75">
      <c r="A191" s="35" t="s">
        <v>92</v>
      </c>
      <c r="B191" s="33" t="e">
        <f>InputSheet!K27/SQRT(InputSheet!N27)</f>
        <v>#DIV/0!</v>
      </c>
      <c r="C191" s="163">
        <v>40.288053435019926</v>
      </c>
      <c r="D191" s="210"/>
      <c r="E191" s="211"/>
      <c r="F191" s="212"/>
    </row>
    <row r="192" spans="1:6" ht="12.75">
      <c r="A192" s="35" t="s">
        <v>93</v>
      </c>
      <c r="B192" s="33" t="e">
        <f>InputSheet!L27/SQRT(InputSheet!N27)</f>
        <v>#DIV/0!</v>
      </c>
      <c r="C192" s="163">
        <v>17.504037912597344</v>
      </c>
      <c r="D192" s="210"/>
      <c r="E192" s="211"/>
      <c r="F192" s="212"/>
    </row>
    <row r="193" spans="1:6" ht="13.5" thickBot="1">
      <c r="A193" s="35" t="s">
        <v>94</v>
      </c>
      <c r="B193" s="33" t="e">
        <f>InputSheet!M27/SQRT(InputSheet!N27)</f>
        <v>#DIV/0!</v>
      </c>
      <c r="C193" s="163">
        <v>17.504037912597344</v>
      </c>
      <c r="D193" s="213"/>
      <c r="E193" s="214"/>
      <c r="F193" s="215"/>
    </row>
    <row r="194" ht="13.5" thickTop="1">
      <c r="A194" s="35"/>
    </row>
    <row r="195" spans="1:2" ht="15.75">
      <c r="A195" s="41" t="s">
        <v>100</v>
      </c>
      <c r="B195" s="24">
        <f>C188</f>
        <v>0</v>
      </c>
    </row>
    <row r="196" spans="1:2" ht="12.75">
      <c r="A196" s="35" t="s">
        <v>95</v>
      </c>
      <c r="B196" s="33" t="e">
        <f>IF(InputSheet!D$70*Calcs!C191+InputSheet!D$75*C192+InputSheet!D$77*C193=0,0,InputSheet!J27/(InputSheet!D$70*Calcs!C191+InputSheet!D$75*C192+InputSheet!D$77*C193))</f>
        <v>#DIV/0!</v>
      </c>
    </row>
    <row r="197" spans="1:3" ht="12.75">
      <c r="A197" s="35" t="s">
        <v>96</v>
      </c>
      <c r="B197" s="33" t="e">
        <f>IF(InputSheet!D$66*Calcs!C190+InputSheet!D$73*C192+InputSheet!D$79*C193=0,0,InputSheet!K27/(InputSheet!D$66*Calcs!C190+InputSheet!D$73*C192+InputSheet!D$79*C193))</f>
        <v>#DIV/0!</v>
      </c>
      <c r="C197" s="32"/>
    </row>
    <row r="198" spans="1:2" ht="12.75">
      <c r="A198" s="35" t="s">
        <v>97</v>
      </c>
      <c r="B198" s="33" t="e">
        <f>IF(InputSheet!D$65*Calcs!C190+InputSheet!D$71*C191+InputSheet!D$78*C193=0,0,InputSheet!L27/(InputSheet!D$65*Calcs!C190+InputSheet!D$71*C191+InputSheet!D$78*C193))</f>
        <v>#DIV/0!</v>
      </c>
    </row>
    <row r="199" spans="1:2" ht="12.75">
      <c r="A199" s="35" t="s">
        <v>98</v>
      </c>
      <c r="B199" s="33" t="e">
        <f>IF(InputSheet!D$67*Calcs!C190+InputSheet!D$69*C191+InputSheet!D$74*C192=0,0,InputSheet!M27/(InputSheet!D$67*Calcs!C190+InputSheet!D$69*C191+InputSheet!D$74*C192))</f>
        <v>#DIV/0!</v>
      </c>
    </row>
    <row r="200" ht="12.75">
      <c r="A200" s="35"/>
    </row>
    <row r="201" spans="1:2" ht="15.75">
      <c r="A201" s="41" t="s">
        <v>101</v>
      </c>
      <c r="B201" s="24">
        <f>B195</f>
        <v>0</v>
      </c>
    </row>
    <row r="202" spans="1:2" ht="12.75">
      <c r="A202" s="35" t="s">
        <v>91</v>
      </c>
      <c r="B202" s="33" t="e">
        <f>IF(InputSheet!D$66*Calcs!B197+InputSheet!D$65*B198+InputSheet!D$67*B199=0,0,InputSheet!J27/(InputSheet!D$66*Calcs!B197+InputSheet!D$65*B198+InputSheet!D$67*B199))</f>
        <v>#DIV/0!</v>
      </c>
    </row>
    <row r="203" spans="1:2" ht="12.75">
      <c r="A203" s="35" t="s">
        <v>92</v>
      </c>
      <c r="B203" s="33" t="e">
        <f>IF(InputSheet!D$70*Calcs!B196+InputSheet!D$71*B198+InputSheet!D$69*B199=0,0,InputSheet!K27/(InputSheet!D$70*Calcs!B196+InputSheet!D$71*B198+InputSheet!D$69*B199))</f>
        <v>#DIV/0!</v>
      </c>
    </row>
    <row r="204" spans="1:2" ht="12.75">
      <c r="A204" s="35" t="s">
        <v>93</v>
      </c>
      <c r="B204" s="33" t="e">
        <f>IF(InputSheet!D$75*Calcs!B196+InputSheet!D$73*B197+InputSheet!D$74*B199=0,0,InputSheet!L27/(InputSheet!D$75*Calcs!B196+InputSheet!D$73*B197+InputSheet!D$74*B199))</f>
        <v>#DIV/0!</v>
      </c>
    </row>
    <row r="205" spans="1:2" ht="12.75">
      <c r="A205" s="35" t="s">
        <v>94</v>
      </c>
      <c r="B205" s="33" t="e">
        <f>IF(InputSheet!D$77*Calcs!B196+InputSheet!D$79*B197+InputSheet!D$78*B198=0,0,InputSheet!M27/(InputSheet!D$77*Calcs!B196+InputSheet!D$79*B197+InputSheet!D$78*B198))</f>
        <v>#DIV/0!</v>
      </c>
    </row>
    <row r="207" spans="1:3" ht="15.75">
      <c r="A207" s="42" t="s">
        <v>114</v>
      </c>
      <c r="B207" s="43"/>
      <c r="C207" s="44"/>
    </row>
    <row r="208" spans="2:5" ht="12.75">
      <c r="B208" s="39" t="s">
        <v>103</v>
      </c>
      <c r="C208" s="39"/>
      <c r="D208" s="39" t="s">
        <v>104</v>
      </c>
      <c r="E208" s="39"/>
    </row>
    <row r="209" spans="2:5" ht="12.75">
      <c r="B209" s="39" t="s">
        <v>105</v>
      </c>
      <c r="C209" s="39"/>
      <c r="D209" s="39" t="s">
        <v>106</v>
      </c>
      <c r="E209" s="39" t="s">
        <v>107</v>
      </c>
    </row>
    <row r="210" spans="2:5" ht="12.75">
      <c r="B210" s="40" t="s">
        <v>108</v>
      </c>
      <c r="C210" s="40" t="s">
        <v>109</v>
      </c>
      <c r="D210" s="40" t="s">
        <v>110</v>
      </c>
      <c r="E210" s="40" t="s">
        <v>111</v>
      </c>
    </row>
    <row r="211" spans="2:5" ht="12.75">
      <c r="B211" s="33" t="e">
        <f>C190-B202</f>
        <v>#DIV/0!</v>
      </c>
      <c r="C211" s="33" t="e">
        <f>ABS(B211)</f>
        <v>#DIV/0!</v>
      </c>
      <c r="D211" s="4" t="e">
        <f>IF(C211&gt;InputSheet!$D$81,1,0)</f>
        <v>#DIV/0!</v>
      </c>
      <c r="E211" s="4"/>
    </row>
    <row r="212" spans="2:5" ht="12.75">
      <c r="B212" s="33" t="e">
        <f>C191-B203</f>
        <v>#DIV/0!</v>
      </c>
      <c r="C212" s="33" t="e">
        <f>ABS(B212)</f>
        <v>#DIV/0!</v>
      </c>
      <c r="D212" s="4" t="e">
        <f>IF(C212&gt;InputSheet!$D$81,1,0)</f>
        <v>#DIV/0!</v>
      </c>
      <c r="E212" s="4"/>
    </row>
    <row r="213" spans="2:5" ht="12.75">
      <c r="B213" s="33" t="e">
        <f>C192-B204</f>
        <v>#DIV/0!</v>
      </c>
      <c r="C213" s="33" t="e">
        <f>ABS(B213)</f>
        <v>#DIV/0!</v>
      </c>
      <c r="D213" s="4" t="e">
        <f>IF(C213&gt;InputSheet!$D$81,1,0)</f>
        <v>#DIV/0!</v>
      </c>
      <c r="E213" s="4"/>
    </row>
    <row r="214" spans="2:5" ht="12.75">
      <c r="B214" s="38" t="e">
        <f>C193-B205</f>
        <v>#DIV/0!</v>
      </c>
      <c r="C214" s="38" t="e">
        <f>ABS(B214)</f>
        <v>#DIV/0!</v>
      </c>
      <c r="D214" s="2" t="e">
        <f>IF(C214&gt;InputSheet!$D$81,1,0)</f>
        <v>#DIV/0!</v>
      </c>
      <c r="E214" s="2"/>
    </row>
    <row r="215" spans="2:5" ht="12.75">
      <c r="B215" s="34" t="s">
        <v>112</v>
      </c>
      <c r="C215" s="33" t="e">
        <f>MAX(C211:C214)</f>
        <v>#DIV/0!</v>
      </c>
      <c r="D215" s="4" t="e">
        <f>MAX(D211:D214)</f>
        <v>#DIV/0!</v>
      </c>
      <c r="E215" s="4" t="e">
        <f>IF(D215&gt;0,1,0)</f>
        <v>#DIV/0!</v>
      </c>
    </row>
    <row r="217" spans="1:3" ht="12.75">
      <c r="A217" s="42" t="s">
        <v>113</v>
      </c>
      <c r="B217" s="43"/>
      <c r="C217" s="44"/>
    </row>
    <row r="218" spans="2:4" ht="12.75">
      <c r="B218" s="39"/>
      <c r="C218" s="39"/>
      <c r="D218" s="39" t="s">
        <v>115</v>
      </c>
    </row>
    <row r="219" spans="2:4" ht="12.75">
      <c r="B219" s="40"/>
      <c r="C219" s="45">
        <f>C188</f>
        <v>0</v>
      </c>
      <c r="D219" s="40" t="s">
        <v>116</v>
      </c>
    </row>
    <row r="220" spans="2:4" ht="12.75">
      <c r="B220" s="4" t="s">
        <v>57</v>
      </c>
      <c r="C220" s="25" t="e">
        <f>InputSheet!D$66*Calcs!B202*Calcs!B197</f>
        <v>#DIV/0!</v>
      </c>
      <c r="D220" s="46" t="e">
        <f>IF(C223=0,0,C220/C223)</f>
        <v>#DIV/0!</v>
      </c>
    </row>
    <row r="221" spans="2:4" ht="12.75">
      <c r="B221" s="4" t="s">
        <v>55</v>
      </c>
      <c r="C221" s="25" t="e">
        <f>InputSheet!D$65*Calcs!B202*Calcs!B198</f>
        <v>#DIV/0!</v>
      </c>
      <c r="D221" s="46" t="e">
        <f>IF(C223=0,0,C221/C223)</f>
        <v>#DIV/0!</v>
      </c>
    </row>
    <row r="222" spans="2:4" ht="12.75">
      <c r="B222" s="4" t="s">
        <v>58</v>
      </c>
      <c r="C222" s="25" t="e">
        <f>InputSheet!D$67*Calcs!B202*Calcs!B199</f>
        <v>#DIV/0!</v>
      </c>
      <c r="D222" s="46" t="e">
        <f>IF(C223=0,0,C222/C223)</f>
        <v>#DIV/0!</v>
      </c>
    </row>
    <row r="223" spans="2:4" ht="12.75">
      <c r="B223" s="4"/>
      <c r="C223" s="25" t="e">
        <f>SUM(C220:C222)</f>
        <v>#DIV/0!</v>
      </c>
      <c r="D223" s="46">
        <v>1</v>
      </c>
    </row>
    <row r="225" spans="2:4" ht="12.75">
      <c r="B225" s="4" t="s">
        <v>60</v>
      </c>
      <c r="C225" s="25" t="e">
        <f>InputSheet!D$70*Calcs!B203*Calcs!B196</f>
        <v>#DIV/0!</v>
      </c>
      <c r="D225" s="46" t="e">
        <f>IF(C228=0,0,C225/C228)</f>
        <v>#DIV/0!</v>
      </c>
    </row>
    <row r="226" spans="2:4" ht="12.75">
      <c r="B226" s="4" t="s">
        <v>59</v>
      </c>
      <c r="C226" s="25" t="e">
        <f>InputSheet!D$71*Calcs!B203*Calcs!B198</f>
        <v>#DIV/0!</v>
      </c>
      <c r="D226" s="46" t="e">
        <f>IF(C228=0,0,C226/C228)</f>
        <v>#DIV/0!</v>
      </c>
    </row>
    <row r="227" spans="2:4" ht="12.75">
      <c r="B227" s="4" t="s">
        <v>61</v>
      </c>
      <c r="C227" s="25" t="e">
        <f>InputSheet!D$69*Calcs!B203*Calcs!B199</f>
        <v>#DIV/0!</v>
      </c>
      <c r="D227" s="46" t="e">
        <f>IF(C228=0,0,C227/C228)</f>
        <v>#DIV/0!</v>
      </c>
    </row>
    <row r="228" spans="2:4" ht="12.75">
      <c r="B228" s="4"/>
      <c r="C228" s="25" t="e">
        <f>SUM(C225:C227)</f>
        <v>#DIV/0!</v>
      </c>
      <c r="D228" s="46">
        <v>1</v>
      </c>
    </row>
    <row r="230" spans="2:4" ht="12.75">
      <c r="B230" s="4" t="s">
        <v>56</v>
      </c>
      <c r="C230" s="25" t="e">
        <f>InputSheet!D$75*Calcs!B204*Calcs!B196</f>
        <v>#DIV/0!</v>
      </c>
      <c r="D230" s="46" t="e">
        <f>IF(C233=0,0,C230/C233)</f>
        <v>#DIV/0!</v>
      </c>
    </row>
    <row r="231" spans="2:4" ht="12.75">
      <c r="B231" s="4" t="s">
        <v>62</v>
      </c>
      <c r="C231" s="25" t="e">
        <f>InputSheet!D$73*Calcs!B204*Calcs!B197</f>
        <v>#DIV/0!</v>
      </c>
      <c r="D231" s="46" t="e">
        <f>IF(C233=0,0,C231/C233)</f>
        <v>#DIV/0!</v>
      </c>
    </row>
    <row r="232" spans="2:4" ht="12.75">
      <c r="B232" s="4" t="s">
        <v>63</v>
      </c>
      <c r="C232" s="25" t="e">
        <f>InputSheet!D$74*Calcs!B204*Calcs!B199</f>
        <v>#DIV/0!</v>
      </c>
      <c r="D232" s="46" t="e">
        <f>IF(C233=0,0,C232/C233)</f>
        <v>#DIV/0!</v>
      </c>
    </row>
    <row r="233" spans="2:4" ht="12.75">
      <c r="B233" s="4"/>
      <c r="C233" s="25" t="e">
        <f>SUM(C230:C232)</f>
        <v>#DIV/0!</v>
      </c>
      <c r="D233" s="46">
        <v>1</v>
      </c>
    </row>
    <row r="235" spans="2:4" ht="12.75">
      <c r="B235" s="4" t="s">
        <v>65</v>
      </c>
      <c r="C235" s="25" t="e">
        <f>InputSheet!D$77*Calcs!B205*Calcs!B196</f>
        <v>#DIV/0!</v>
      </c>
      <c r="D235" s="46" t="e">
        <f>IF(C238=0,0,C235/C238)</f>
        <v>#DIV/0!</v>
      </c>
    </row>
    <row r="236" spans="2:4" ht="12.75">
      <c r="B236" s="4" t="s">
        <v>66</v>
      </c>
      <c r="C236" s="25" t="e">
        <f>InputSheet!D$79*Calcs!B205*Calcs!B197</f>
        <v>#DIV/0!</v>
      </c>
      <c r="D236" s="46" t="e">
        <f>IF(C238=0,0,C236/C238)</f>
        <v>#DIV/0!</v>
      </c>
    </row>
    <row r="237" spans="2:4" ht="12.75">
      <c r="B237" s="4" t="s">
        <v>64</v>
      </c>
      <c r="C237" s="25" t="e">
        <f>InputSheet!D$78*Calcs!B205*Calcs!B198</f>
        <v>#DIV/0!</v>
      </c>
      <c r="D237" s="46" t="e">
        <f>IF(C238=0,0,C237/C238)</f>
        <v>#DIV/0!</v>
      </c>
    </row>
    <row r="238" spans="3:4" ht="12.75">
      <c r="C238" s="25" t="e">
        <f>SUM(C235:C237)</f>
        <v>#DIV/0!</v>
      </c>
      <c r="D238" s="46">
        <v>1</v>
      </c>
    </row>
    <row r="240" spans="1:5" ht="12.75">
      <c r="A240" s="47" t="s">
        <v>128</v>
      </c>
      <c r="B240" s="43"/>
      <c r="C240" s="43"/>
      <c r="D240" s="43"/>
      <c r="E240" s="44"/>
    </row>
    <row r="242" spans="1:4" ht="12.75">
      <c r="A242" s="45" t="s">
        <v>132</v>
      </c>
      <c r="B242" s="45" t="s">
        <v>117</v>
      </c>
      <c r="C242" s="45" t="s">
        <v>89</v>
      </c>
      <c r="D242" s="45" t="s">
        <v>118</v>
      </c>
    </row>
    <row r="243" spans="1:4" ht="12.75">
      <c r="A243" s="20" t="s">
        <v>119</v>
      </c>
      <c r="B243" s="24" t="e">
        <f>C225+C230+C235</f>
        <v>#DIV/0!</v>
      </c>
      <c r="C243" s="24" t="e">
        <f>InputSheet!J27</f>
        <v>#DIV/0!</v>
      </c>
      <c r="D243" s="24" t="e">
        <f>ABS(C243-B243)</f>
        <v>#DIV/0!</v>
      </c>
    </row>
    <row r="244" spans="1:4" ht="12.75">
      <c r="A244" s="20" t="s">
        <v>120</v>
      </c>
      <c r="B244" s="24" t="e">
        <f>C220+C231+C236</f>
        <v>#DIV/0!</v>
      </c>
      <c r="C244" s="24" t="e">
        <f>InputSheet!K27</f>
        <v>#DIV/0!</v>
      </c>
      <c r="D244" s="24" t="e">
        <f>ABS(C244-B244)</f>
        <v>#DIV/0!</v>
      </c>
    </row>
    <row r="245" spans="1:4" ht="12.75">
      <c r="A245" s="20" t="s">
        <v>121</v>
      </c>
      <c r="B245" s="24" t="e">
        <f>C221+C226+C237</f>
        <v>#DIV/0!</v>
      </c>
      <c r="C245" s="24" t="e">
        <f>InputSheet!L27</f>
        <v>#DIV/0!</v>
      </c>
      <c r="D245" s="24" t="e">
        <f>ABS(C245-B245)</f>
        <v>#DIV/0!</v>
      </c>
    </row>
    <row r="246" spans="1:4" ht="12.75">
      <c r="A246" s="20" t="s">
        <v>122</v>
      </c>
      <c r="B246" s="24" t="e">
        <f>C222+C227+C232</f>
        <v>#DIV/0!</v>
      </c>
      <c r="C246" s="24" t="e">
        <f>InputSheet!M27</f>
        <v>#DIV/0!</v>
      </c>
      <c r="D246" s="24" t="e">
        <f>ABS(C246-B246)</f>
        <v>#DIV/0!</v>
      </c>
    </row>
    <row r="247" spans="1:5" ht="12.75">
      <c r="A247" s="20" t="s">
        <v>123</v>
      </c>
      <c r="B247" s="24" t="e">
        <f>SUM(B243:B246)</f>
        <v>#DIV/0!</v>
      </c>
      <c r="C247" s="24" t="e">
        <f>SUM(C243:C246)</f>
        <v>#DIV/0!</v>
      </c>
      <c r="D247" s="24" t="e">
        <f>SUM(D243:D246)</f>
        <v>#DIV/0!</v>
      </c>
      <c r="E247" t="e">
        <f>IF(D247&gt;=2,"*Try Smaller Closure","OK")</f>
        <v>#DIV/0!</v>
      </c>
    </row>
    <row r="248" spans="1:4" ht="12.75">
      <c r="A248" s="45" t="s">
        <v>130</v>
      </c>
      <c r="B248" s="45" t="s">
        <v>117</v>
      </c>
      <c r="C248" s="45" t="s">
        <v>89</v>
      </c>
      <c r="D248" s="45" t="s">
        <v>118</v>
      </c>
    </row>
    <row r="249" spans="1:4" ht="12.75">
      <c r="A249" s="20" t="s">
        <v>124</v>
      </c>
      <c r="B249" s="24" t="e">
        <f>C223</f>
        <v>#DIV/0!</v>
      </c>
      <c r="C249" s="24" t="e">
        <f>C243</f>
        <v>#DIV/0!</v>
      </c>
      <c r="D249" s="24" t="e">
        <f>ABS(C249-B249)</f>
        <v>#DIV/0!</v>
      </c>
    </row>
    <row r="250" spans="1:4" ht="12.75">
      <c r="A250" s="20" t="s">
        <v>125</v>
      </c>
      <c r="B250" s="24" t="e">
        <f>C228</f>
        <v>#DIV/0!</v>
      </c>
      <c r="C250" s="24" t="e">
        <f>C244</f>
        <v>#DIV/0!</v>
      </c>
      <c r="D250" s="24" t="e">
        <f>ABS(C250-B250)</f>
        <v>#DIV/0!</v>
      </c>
    </row>
    <row r="251" spans="1:4" ht="12.75">
      <c r="A251" s="20" t="s">
        <v>126</v>
      </c>
      <c r="B251" s="24" t="e">
        <f>C233</f>
        <v>#DIV/0!</v>
      </c>
      <c r="C251" s="24" t="e">
        <f>C245</f>
        <v>#DIV/0!</v>
      </c>
      <c r="D251" s="24" t="e">
        <f>ABS(C251-B251)</f>
        <v>#DIV/0!</v>
      </c>
    </row>
    <row r="252" spans="1:4" ht="12.75">
      <c r="A252" s="20" t="s">
        <v>127</v>
      </c>
      <c r="B252" s="24" t="e">
        <f>C238</f>
        <v>#DIV/0!</v>
      </c>
      <c r="C252" s="24" t="e">
        <f>C246</f>
        <v>#DIV/0!</v>
      </c>
      <c r="D252" s="24" t="e">
        <f>ABS(C252-B252)</f>
        <v>#DIV/0!</v>
      </c>
    </row>
    <row r="253" spans="1:5" ht="12.75">
      <c r="A253" s="20" t="s">
        <v>123</v>
      </c>
      <c r="B253" s="4">
        <v>69500</v>
      </c>
      <c r="C253" s="24" t="e">
        <f>SUM(C249:C252)</f>
        <v>#DIV/0!</v>
      </c>
      <c r="D253" s="24" t="e">
        <f>SUM(D249:D252)</f>
        <v>#DIV/0!</v>
      </c>
      <c r="E253" t="e">
        <f>IF(D253&gt;=2,"*Try Smaller Closure","OK")</f>
        <v>#DIV/0!</v>
      </c>
    </row>
    <row r="255" ht="12.75">
      <c r="A255" s="48" t="s">
        <v>137</v>
      </c>
    </row>
    <row r="256" ht="12.75">
      <c r="E256" s="39" t="s">
        <v>129</v>
      </c>
    </row>
    <row r="257" spans="1:5" ht="12.75">
      <c r="A257" s="45" t="s">
        <v>130</v>
      </c>
      <c r="B257" s="45" t="s">
        <v>131</v>
      </c>
      <c r="C257" s="45" t="s">
        <v>132</v>
      </c>
      <c r="D257" s="45" t="s">
        <v>131</v>
      </c>
      <c r="E257" s="45" t="s">
        <v>110</v>
      </c>
    </row>
    <row r="258" spans="1:5" ht="12.75">
      <c r="A258" s="20" t="s">
        <v>124</v>
      </c>
      <c r="B258" s="24" t="e">
        <f>C243</f>
        <v>#DIV/0!</v>
      </c>
      <c r="C258" s="4" t="s">
        <v>133</v>
      </c>
      <c r="D258" s="24" t="e">
        <f>InputSheet!K$27+InputSheet!L$27+InputSheet!M$27</f>
        <v>#DIV/0!</v>
      </c>
      <c r="E258" s="4" t="e">
        <f>IF(B258&gt;D258,1,0)</f>
        <v>#DIV/0!</v>
      </c>
    </row>
    <row r="259" spans="1:5" ht="12.75">
      <c r="A259" s="20" t="s">
        <v>125</v>
      </c>
      <c r="B259" s="4" t="e">
        <f>C244</f>
        <v>#DIV/0!</v>
      </c>
      <c r="C259" s="4" t="s">
        <v>134</v>
      </c>
      <c r="D259" s="24" t="e">
        <f>InputSheet!J$27+InputSheet!L$27+InputSheet!M$27</f>
        <v>#DIV/0!</v>
      </c>
      <c r="E259" s="4" t="e">
        <f>IF(B259&gt;D259,1,0)</f>
        <v>#DIV/0!</v>
      </c>
    </row>
    <row r="260" spans="1:5" ht="12.75">
      <c r="A260" s="20" t="s">
        <v>126</v>
      </c>
      <c r="B260" s="4" t="e">
        <f>C245</f>
        <v>#DIV/0!</v>
      </c>
      <c r="C260" s="4" t="s">
        <v>135</v>
      </c>
      <c r="D260" s="24" t="e">
        <f>InputSheet!J$27+InputSheet!K$27+InputSheet!M$27</f>
        <v>#DIV/0!</v>
      </c>
      <c r="E260" s="4" t="e">
        <f>IF(B260&gt;D260,1,0)</f>
        <v>#DIV/0!</v>
      </c>
    </row>
    <row r="261" spans="1:5" ht="12.75">
      <c r="A261" s="20" t="s">
        <v>127</v>
      </c>
      <c r="B261" s="4" t="e">
        <f>C246</f>
        <v>#DIV/0!</v>
      </c>
      <c r="C261" s="4" t="s">
        <v>136</v>
      </c>
      <c r="D261" s="24" t="e">
        <f>InputSheet!J$27+InputSheet!K$27+InputSheet!L$27</f>
        <v>#DIV/0!</v>
      </c>
      <c r="E261" s="4" t="e">
        <f>IF(B261&gt;D261,1,0)</f>
        <v>#DIV/0!</v>
      </c>
    </row>
    <row r="262" spans="5:6" ht="12.75">
      <c r="E262" s="4" t="e">
        <f>MAX(E258:E261)</f>
        <v>#DIV/0!</v>
      </c>
      <c r="F262" t="e">
        <f>IF(E262&gt;=2,"*Try Smaller Closure","OK")</f>
        <v>#DIV/0!</v>
      </c>
    </row>
    <row r="263" ht="12.75">
      <c r="B263" s="20" t="s">
        <v>143</v>
      </c>
    </row>
    <row r="268" spans="1:3" ht="12.75">
      <c r="A268" s="36" t="s">
        <v>144</v>
      </c>
      <c r="B268" s="36"/>
      <c r="C268" s="37">
        <f>InputSheet!I28</f>
        <v>0</v>
      </c>
    </row>
    <row r="269" spans="2:3" ht="13.5" thickBot="1">
      <c r="B269" s="34" t="s">
        <v>89</v>
      </c>
      <c r="C269" s="34" t="s">
        <v>90</v>
      </c>
    </row>
    <row r="270" spans="1:6" ht="13.5" customHeight="1" thickTop="1">
      <c r="A270" s="35" t="s">
        <v>91</v>
      </c>
      <c r="B270" s="33" t="e">
        <f>InputSheet!J28/SQRT(InputSheet!N28)</f>
        <v>#DIV/0!</v>
      </c>
      <c r="C270" s="163">
        <v>43.260133851964206</v>
      </c>
      <c r="D270" s="207" t="s">
        <v>142</v>
      </c>
      <c r="E270" s="208"/>
      <c r="F270" s="209"/>
    </row>
    <row r="271" spans="1:6" ht="12.75">
      <c r="A271" s="35" t="s">
        <v>92</v>
      </c>
      <c r="B271" s="33" t="e">
        <f>InputSheet!K28/SQRT(InputSheet!N28)</f>
        <v>#DIV/0!</v>
      </c>
      <c r="C271" s="163">
        <v>43.260133851964206</v>
      </c>
      <c r="D271" s="210"/>
      <c r="E271" s="211"/>
      <c r="F271" s="212"/>
    </row>
    <row r="272" spans="1:6" ht="12.75">
      <c r="A272" s="35" t="s">
        <v>93</v>
      </c>
      <c r="B272" s="33" t="e">
        <f>InputSheet!L28/SQRT(InputSheet!N28)</f>
        <v>#DIV/0!</v>
      </c>
      <c r="C272" s="163">
        <v>20.689977844540113</v>
      </c>
      <c r="D272" s="210"/>
      <c r="E272" s="211"/>
      <c r="F272" s="212"/>
    </row>
    <row r="273" spans="1:6" ht="13.5" thickBot="1">
      <c r="A273" s="35" t="s">
        <v>94</v>
      </c>
      <c r="B273" s="33" t="e">
        <f>InputSheet!M28/SQRT(InputSheet!N28)</f>
        <v>#DIV/0!</v>
      </c>
      <c r="C273" s="163">
        <v>20.689977844540113</v>
      </c>
      <c r="D273" s="213"/>
      <c r="E273" s="214"/>
      <c r="F273" s="215"/>
    </row>
    <row r="274" ht="13.5" thickTop="1">
      <c r="A274" s="35"/>
    </row>
    <row r="275" spans="1:2" ht="15.75">
      <c r="A275" s="41" t="s">
        <v>100</v>
      </c>
      <c r="B275" s="24">
        <f>C268</f>
        <v>0</v>
      </c>
    </row>
    <row r="276" spans="1:2" ht="12.75">
      <c r="A276" s="35" t="s">
        <v>95</v>
      </c>
      <c r="B276" s="33" t="e">
        <f>IF(InputSheet!D$70*Calcs!C271+InputSheet!D$75*C272+InputSheet!D$77*C273=0,0,InputSheet!J28/(InputSheet!D$70*Calcs!C271+InputSheet!D$75*C272+InputSheet!D$77*C273))</f>
        <v>#DIV/0!</v>
      </c>
    </row>
    <row r="277" spans="1:3" ht="12.75">
      <c r="A277" s="35" t="s">
        <v>96</v>
      </c>
      <c r="B277" s="33" t="e">
        <f>IF(InputSheet!D$66*Calcs!C270+InputSheet!D$73*C272+InputSheet!D$79*C273=0,0,InputSheet!K28/(InputSheet!D$66*Calcs!C270+InputSheet!D$73*C272+InputSheet!D$79*C273))</f>
        <v>#DIV/0!</v>
      </c>
      <c r="C277" s="32"/>
    </row>
    <row r="278" spans="1:2" ht="12.75">
      <c r="A278" s="35" t="s">
        <v>97</v>
      </c>
      <c r="B278" s="33" t="e">
        <f>IF(InputSheet!D$65*Calcs!C270+InputSheet!D$71*C271+InputSheet!D$78*C273=0,0,InputSheet!L28/(InputSheet!D$65*Calcs!C270+InputSheet!D$71*C271+InputSheet!D$78*C273))</f>
        <v>#DIV/0!</v>
      </c>
    </row>
    <row r="279" spans="1:2" ht="12.75">
      <c r="A279" s="35" t="s">
        <v>98</v>
      </c>
      <c r="B279" s="33" t="e">
        <f>IF(InputSheet!D$67*Calcs!C270+InputSheet!D$69*C271+InputSheet!D$74*C272=0,0,InputSheet!M28/(InputSheet!D$67*Calcs!C270+InputSheet!D$69*C271+InputSheet!D$74*C272))</f>
        <v>#DIV/0!</v>
      </c>
    </row>
    <row r="280" ht="12.75">
      <c r="A280" s="35"/>
    </row>
    <row r="281" spans="1:2" ht="15.75">
      <c r="A281" s="41" t="s">
        <v>101</v>
      </c>
      <c r="B281" s="24">
        <f>B275</f>
        <v>0</v>
      </c>
    </row>
    <row r="282" spans="1:2" ht="12.75">
      <c r="A282" s="35" t="s">
        <v>91</v>
      </c>
      <c r="B282" s="33" t="e">
        <f>IF(InputSheet!D$66*Calcs!B277+InputSheet!D$65*B278+InputSheet!D$67*B279=0,0,InputSheet!J28/(InputSheet!D$66*Calcs!B277+InputSheet!D$65*B278+InputSheet!D$67*B279))</f>
        <v>#DIV/0!</v>
      </c>
    </row>
    <row r="283" spans="1:2" ht="12.75">
      <c r="A283" s="35" t="s">
        <v>92</v>
      </c>
      <c r="B283" s="33" t="e">
        <f>IF(InputSheet!D$70*Calcs!B276+InputSheet!D$71*B278+InputSheet!D$69*B279=0,0,InputSheet!K28/(InputSheet!D$70*Calcs!B276+InputSheet!D$71*B278+InputSheet!D$69*B279))</f>
        <v>#DIV/0!</v>
      </c>
    </row>
    <row r="284" spans="1:2" ht="12.75">
      <c r="A284" s="35" t="s">
        <v>93</v>
      </c>
      <c r="B284" s="33" t="e">
        <f>IF(InputSheet!D$75*Calcs!B276+InputSheet!D$73*B277+InputSheet!D$74*B279=0,0,InputSheet!L28/(InputSheet!D$75*Calcs!B276+InputSheet!D$73*B277+InputSheet!D$74*B279))</f>
        <v>#DIV/0!</v>
      </c>
    </row>
    <row r="285" spans="1:2" ht="12.75">
      <c r="A285" s="35" t="s">
        <v>94</v>
      </c>
      <c r="B285" s="33" t="e">
        <f>IF(InputSheet!D$77*Calcs!B276+InputSheet!D$79*B277+InputSheet!D$78*B278=0,0,InputSheet!M28/(InputSheet!D$77*Calcs!B276+InputSheet!D$79*B277+InputSheet!D$78*B278))</f>
        <v>#DIV/0!</v>
      </c>
    </row>
    <row r="287" spans="1:3" ht="15.75">
      <c r="A287" s="42" t="s">
        <v>114</v>
      </c>
      <c r="B287" s="43"/>
      <c r="C287" s="44"/>
    </row>
    <row r="288" spans="2:5" ht="12.75">
      <c r="B288" s="39" t="s">
        <v>103</v>
      </c>
      <c r="C288" s="39"/>
      <c r="D288" s="39" t="s">
        <v>104</v>
      </c>
      <c r="E288" s="39"/>
    </row>
    <row r="289" spans="2:5" ht="12.75">
      <c r="B289" s="39" t="s">
        <v>105</v>
      </c>
      <c r="C289" s="39"/>
      <c r="D289" s="39" t="s">
        <v>106</v>
      </c>
      <c r="E289" s="39" t="s">
        <v>107</v>
      </c>
    </row>
    <row r="290" spans="2:5" ht="12.75">
      <c r="B290" s="40" t="s">
        <v>108</v>
      </c>
      <c r="C290" s="40" t="s">
        <v>109</v>
      </c>
      <c r="D290" s="40" t="s">
        <v>110</v>
      </c>
      <c r="E290" s="40" t="s">
        <v>111</v>
      </c>
    </row>
    <row r="291" spans="2:5" ht="12.75">
      <c r="B291" s="33" t="e">
        <f>C270-B282</f>
        <v>#DIV/0!</v>
      </c>
      <c r="C291" s="33" t="e">
        <f>ABS(B291)</f>
        <v>#DIV/0!</v>
      </c>
      <c r="D291" s="4" t="e">
        <f>IF(C291&gt;InputSheet!$D$81,1,0)</f>
        <v>#DIV/0!</v>
      </c>
      <c r="E291" s="4"/>
    </row>
    <row r="292" spans="2:5" ht="12.75">
      <c r="B292" s="33" t="e">
        <f>C271-B283</f>
        <v>#DIV/0!</v>
      </c>
      <c r="C292" s="33" t="e">
        <f>ABS(B292)</f>
        <v>#DIV/0!</v>
      </c>
      <c r="D292" s="4" t="e">
        <f>IF(C292&gt;InputSheet!$D$81,1,0)</f>
        <v>#DIV/0!</v>
      </c>
      <c r="E292" s="4"/>
    </row>
    <row r="293" spans="2:5" ht="12.75">
      <c r="B293" s="33" t="e">
        <f>C272-B284</f>
        <v>#DIV/0!</v>
      </c>
      <c r="C293" s="33" t="e">
        <f>ABS(B293)</f>
        <v>#DIV/0!</v>
      </c>
      <c r="D293" s="4" t="e">
        <f>IF(C293&gt;InputSheet!$D$81,1,0)</f>
        <v>#DIV/0!</v>
      </c>
      <c r="E293" s="4"/>
    </row>
    <row r="294" spans="2:5" ht="12.75">
      <c r="B294" s="38" t="e">
        <f>C273-B285</f>
        <v>#DIV/0!</v>
      </c>
      <c r="C294" s="38" t="e">
        <f>ABS(B294)</f>
        <v>#DIV/0!</v>
      </c>
      <c r="D294" s="2" t="e">
        <f>IF(C294&gt;InputSheet!$D$81,1,0)</f>
        <v>#DIV/0!</v>
      </c>
      <c r="E294" s="2"/>
    </row>
    <row r="295" spans="2:5" ht="12.75">
      <c r="B295" s="34" t="s">
        <v>112</v>
      </c>
      <c r="C295" s="33" t="e">
        <f>MAX(C291:C294)</f>
        <v>#DIV/0!</v>
      </c>
      <c r="D295" s="4" t="e">
        <f>MAX(D291:D294)</f>
        <v>#DIV/0!</v>
      </c>
      <c r="E295" s="4" t="e">
        <f>IF(D295&gt;0,1,0)</f>
        <v>#DIV/0!</v>
      </c>
    </row>
    <row r="297" spans="1:3" ht="12.75">
      <c r="A297" s="42" t="s">
        <v>113</v>
      </c>
      <c r="B297" s="43"/>
      <c r="C297" s="44"/>
    </row>
    <row r="298" spans="2:4" ht="12.75">
      <c r="B298" s="39"/>
      <c r="C298" s="39"/>
      <c r="D298" s="39" t="s">
        <v>115</v>
      </c>
    </row>
    <row r="299" spans="2:4" ht="12.75">
      <c r="B299" s="40"/>
      <c r="C299" s="45">
        <f>C268</f>
        <v>0</v>
      </c>
      <c r="D299" s="40" t="s">
        <v>116</v>
      </c>
    </row>
    <row r="300" spans="2:4" ht="12.75">
      <c r="B300" s="4" t="s">
        <v>57</v>
      </c>
      <c r="C300" s="25" t="e">
        <f>InputSheet!D$66*Calcs!B282*Calcs!B277</f>
        <v>#DIV/0!</v>
      </c>
      <c r="D300" s="46" t="e">
        <f>IF(C303=0,0,C300/C303)</f>
        <v>#DIV/0!</v>
      </c>
    </row>
    <row r="301" spans="2:4" ht="12.75">
      <c r="B301" s="4" t="s">
        <v>55</v>
      </c>
      <c r="C301" s="25" t="e">
        <f>InputSheet!D$65*Calcs!B282*Calcs!B278</f>
        <v>#DIV/0!</v>
      </c>
      <c r="D301" s="46" t="e">
        <f>IF(C303=0,0,C301/C303)</f>
        <v>#DIV/0!</v>
      </c>
    </row>
    <row r="302" spans="2:4" ht="12.75">
      <c r="B302" s="4" t="s">
        <v>58</v>
      </c>
      <c r="C302" s="25" t="e">
        <f>InputSheet!D$67*Calcs!B282*Calcs!B279</f>
        <v>#DIV/0!</v>
      </c>
      <c r="D302" s="46" t="e">
        <f>IF(C303=0,0,C302/C303)</f>
        <v>#DIV/0!</v>
      </c>
    </row>
    <row r="303" spans="2:4" ht="12.75">
      <c r="B303" s="4"/>
      <c r="C303" s="25" t="e">
        <f>SUM(C300:C302)</f>
        <v>#DIV/0!</v>
      </c>
      <c r="D303" s="46">
        <v>1</v>
      </c>
    </row>
    <row r="305" spans="2:4" ht="12.75">
      <c r="B305" s="4" t="s">
        <v>60</v>
      </c>
      <c r="C305" s="25" t="e">
        <f>InputSheet!D$70*Calcs!B283*Calcs!B276</f>
        <v>#DIV/0!</v>
      </c>
      <c r="D305" s="46" t="e">
        <f>IF(C308=0,0,C305/C308)</f>
        <v>#DIV/0!</v>
      </c>
    </row>
    <row r="306" spans="2:4" ht="12.75">
      <c r="B306" s="4" t="s">
        <v>59</v>
      </c>
      <c r="C306" s="25" t="e">
        <f>InputSheet!D$71*Calcs!B283*Calcs!B278</f>
        <v>#DIV/0!</v>
      </c>
      <c r="D306" s="46" t="e">
        <f>IF(C308=0,0,C306/C308)</f>
        <v>#DIV/0!</v>
      </c>
    </row>
    <row r="307" spans="2:4" ht="12.75">
      <c r="B307" s="4" t="s">
        <v>61</v>
      </c>
      <c r="C307" s="25" t="e">
        <f>InputSheet!D$69*Calcs!B283*Calcs!B279</f>
        <v>#DIV/0!</v>
      </c>
      <c r="D307" s="46" t="e">
        <f>IF(C308=0,0,C307/C308)</f>
        <v>#DIV/0!</v>
      </c>
    </row>
    <row r="308" spans="2:4" ht="12.75">
      <c r="B308" s="4"/>
      <c r="C308" s="25" t="e">
        <f>SUM(C305:C307)</f>
        <v>#DIV/0!</v>
      </c>
      <c r="D308" s="46">
        <v>1</v>
      </c>
    </row>
    <row r="310" spans="2:4" ht="12.75">
      <c r="B310" s="4" t="s">
        <v>56</v>
      </c>
      <c r="C310" s="25" t="e">
        <f>InputSheet!D$75*Calcs!B284*Calcs!B276</f>
        <v>#DIV/0!</v>
      </c>
      <c r="D310" s="46" t="e">
        <f>IF(C313=0,0,C310/C313)</f>
        <v>#DIV/0!</v>
      </c>
    </row>
    <row r="311" spans="2:4" ht="12.75">
      <c r="B311" s="4" t="s">
        <v>62</v>
      </c>
      <c r="C311" s="25" t="e">
        <f>InputSheet!D$73*Calcs!B284*Calcs!B277</f>
        <v>#DIV/0!</v>
      </c>
      <c r="D311" s="46" t="e">
        <f>IF(C313=0,0,C311/C313)</f>
        <v>#DIV/0!</v>
      </c>
    </row>
    <row r="312" spans="2:4" ht="12.75">
      <c r="B312" s="4" t="s">
        <v>63</v>
      </c>
      <c r="C312" s="25" t="e">
        <f>InputSheet!D$74*Calcs!B284*Calcs!B279</f>
        <v>#DIV/0!</v>
      </c>
      <c r="D312" s="46" t="e">
        <f>IF(C313=0,0,C312/C313)</f>
        <v>#DIV/0!</v>
      </c>
    </row>
    <row r="313" spans="2:4" ht="12.75">
      <c r="B313" s="4"/>
      <c r="C313" s="25" t="e">
        <f>SUM(C310:C312)</f>
        <v>#DIV/0!</v>
      </c>
      <c r="D313" s="46">
        <v>1</v>
      </c>
    </row>
    <row r="315" spans="2:4" ht="12.75">
      <c r="B315" s="4" t="s">
        <v>65</v>
      </c>
      <c r="C315" s="25" t="e">
        <f>InputSheet!D$77*Calcs!B285*Calcs!B276</f>
        <v>#DIV/0!</v>
      </c>
      <c r="D315" s="46" t="e">
        <f>IF(C318=0,0,C315/C318)</f>
        <v>#DIV/0!</v>
      </c>
    </row>
    <row r="316" spans="2:4" ht="12.75">
      <c r="B316" s="4" t="s">
        <v>66</v>
      </c>
      <c r="C316" s="25" t="e">
        <f>InputSheet!D$79*Calcs!B285*Calcs!B277</f>
        <v>#DIV/0!</v>
      </c>
      <c r="D316" s="46" t="e">
        <f>IF(C318=0,0,C316/C318)</f>
        <v>#DIV/0!</v>
      </c>
    </row>
    <row r="317" spans="2:4" ht="12.75">
      <c r="B317" s="4" t="s">
        <v>64</v>
      </c>
      <c r="C317" s="25" t="e">
        <f>InputSheet!D$78*Calcs!B285*Calcs!B278</f>
        <v>#DIV/0!</v>
      </c>
      <c r="D317" s="46" t="e">
        <f>IF(C318=0,0,C317/C318)</f>
        <v>#DIV/0!</v>
      </c>
    </row>
    <row r="318" spans="3:4" ht="12.75">
      <c r="C318" s="25" t="e">
        <f>SUM(C315:C317)</f>
        <v>#DIV/0!</v>
      </c>
      <c r="D318" s="46">
        <v>1</v>
      </c>
    </row>
    <row r="320" spans="1:5" ht="12.75">
      <c r="A320" s="47" t="s">
        <v>128</v>
      </c>
      <c r="B320" s="43"/>
      <c r="C320" s="43"/>
      <c r="D320" s="43"/>
      <c r="E320" s="44"/>
    </row>
    <row r="322" spans="1:4" ht="12.75">
      <c r="A322" s="45" t="s">
        <v>132</v>
      </c>
      <c r="B322" s="45" t="s">
        <v>117</v>
      </c>
      <c r="C322" s="45" t="s">
        <v>89</v>
      </c>
      <c r="D322" s="45" t="s">
        <v>118</v>
      </c>
    </row>
    <row r="323" spans="1:4" ht="12.75">
      <c r="A323" s="20" t="s">
        <v>119</v>
      </c>
      <c r="B323" s="24" t="e">
        <f>C305+C310+C315</f>
        <v>#DIV/0!</v>
      </c>
      <c r="C323" s="24" t="e">
        <f>InputSheet!J28</f>
        <v>#DIV/0!</v>
      </c>
      <c r="D323" s="24" t="e">
        <f>ABS(C323-B323)</f>
        <v>#DIV/0!</v>
      </c>
    </row>
    <row r="324" spans="1:4" ht="12.75">
      <c r="A324" s="20" t="s">
        <v>120</v>
      </c>
      <c r="B324" s="24" t="e">
        <f>C300+C311+C316</f>
        <v>#DIV/0!</v>
      </c>
      <c r="C324" s="24" t="e">
        <f>InputSheet!K28</f>
        <v>#DIV/0!</v>
      </c>
      <c r="D324" s="24" t="e">
        <f>ABS(C324-B324)</f>
        <v>#DIV/0!</v>
      </c>
    </row>
    <row r="325" spans="1:4" ht="12.75">
      <c r="A325" s="20" t="s">
        <v>121</v>
      </c>
      <c r="B325" s="24" t="e">
        <f>C301+C306+C317</f>
        <v>#DIV/0!</v>
      </c>
      <c r="C325" s="24" t="e">
        <f>InputSheet!L28</f>
        <v>#DIV/0!</v>
      </c>
      <c r="D325" s="24" t="e">
        <f>ABS(C325-B325)</f>
        <v>#DIV/0!</v>
      </c>
    </row>
    <row r="326" spans="1:4" ht="12.75">
      <c r="A326" s="20" t="s">
        <v>122</v>
      </c>
      <c r="B326" s="24" t="e">
        <f>C302+C307+C312</f>
        <v>#DIV/0!</v>
      </c>
      <c r="C326" s="24" t="e">
        <f>InputSheet!M28</f>
        <v>#DIV/0!</v>
      </c>
      <c r="D326" s="24" t="e">
        <f>ABS(C326-B326)</f>
        <v>#DIV/0!</v>
      </c>
    </row>
    <row r="327" spans="1:5" ht="12.75">
      <c r="A327" s="20" t="s">
        <v>123</v>
      </c>
      <c r="B327" s="24" t="e">
        <f>SUM(B323:B326)</f>
        <v>#DIV/0!</v>
      </c>
      <c r="C327" s="24" t="e">
        <f>SUM(C323:C326)</f>
        <v>#DIV/0!</v>
      </c>
      <c r="D327" s="24" t="e">
        <f>SUM(D323:D326)</f>
        <v>#DIV/0!</v>
      </c>
      <c r="E327" t="e">
        <f>IF(D327&gt;=2,"*Try Smaller Closure","OK")</f>
        <v>#DIV/0!</v>
      </c>
    </row>
    <row r="328" spans="1:4" ht="12.75">
      <c r="A328" s="45" t="s">
        <v>130</v>
      </c>
      <c r="B328" s="45" t="s">
        <v>117</v>
      </c>
      <c r="C328" s="45" t="s">
        <v>89</v>
      </c>
      <c r="D328" s="45" t="s">
        <v>118</v>
      </c>
    </row>
    <row r="329" spans="1:4" ht="12.75">
      <c r="A329" s="20" t="s">
        <v>124</v>
      </c>
      <c r="B329" s="24" t="e">
        <f>C303</f>
        <v>#DIV/0!</v>
      </c>
      <c r="C329" s="24" t="e">
        <f>C323</f>
        <v>#DIV/0!</v>
      </c>
      <c r="D329" s="24" t="e">
        <f>ABS(C329-B329)</f>
        <v>#DIV/0!</v>
      </c>
    </row>
    <row r="330" spans="1:4" ht="12.75">
      <c r="A330" s="20" t="s">
        <v>125</v>
      </c>
      <c r="B330" s="24" t="e">
        <f>C308</f>
        <v>#DIV/0!</v>
      </c>
      <c r="C330" s="24" t="e">
        <f>C324</f>
        <v>#DIV/0!</v>
      </c>
      <c r="D330" s="24" t="e">
        <f>ABS(C330-B330)</f>
        <v>#DIV/0!</v>
      </c>
    </row>
    <row r="331" spans="1:4" ht="12.75">
      <c r="A331" s="20" t="s">
        <v>126</v>
      </c>
      <c r="B331" s="24" t="e">
        <f>C313</f>
        <v>#DIV/0!</v>
      </c>
      <c r="C331" s="24" t="e">
        <f>C325</f>
        <v>#DIV/0!</v>
      </c>
      <c r="D331" s="24" t="e">
        <f>ABS(C331-B331)</f>
        <v>#DIV/0!</v>
      </c>
    </row>
    <row r="332" spans="1:4" ht="12.75">
      <c r="A332" s="20" t="s">
        <v>127</v>
      </c>
      <c r="B332" s="24" t="e">
        <f>C318</f>
        <v>#DIV/0!</v>
      </c>
      <c r="C332" s="24" t="e">
        <f>C326</f>
        <v>#DIV/0!</v>
      </c>
      <c r="D332" s="24" t="e">
        <f>ABS(C332-B332)</f>
        <v>#DIV/0!</v>
      </c>
    </row>
    <row r="333" spans="1:5" ht="12.75">
      <c r="A333" s="20" t="s">
        <v>123</v>
      </c>
      <c r="B333" s="4">
        <v>69500</v>
      </c>
      <c r="C333" s="24" t="e">
        <f>SUM(C329:C332)</f>
        <v>#DIV/0!</v>
      </c>
      <c r="D333" s="24" t="e">
        <f>SUM(D329:D332)</f>
        <v>#DIV/0!</v>
      </c>
      <c r="E333" t="e">
        <f>IF(D333&gt;=2,"*Try Smaller Closure","OK")</f>
        <v>#DIV/0!</v>
      </c>
    </row>
    <row r="335" ht="12.75">
      <c r="A335" s="48" t="s">
        <v>137</v>
      </c>
    </row>
    <row r="336" ht="12.75">
      <c r="E336" s="39" t="s">
        <v>129</v>
      </c>
    </row>
    <row r="337" spans="1:5" ht="12.75">
      <c r="A337" s="45" t="s">
        <v>130</v>
      </c>
      <c r="B337" s="45" t="s">
        <v>131</v>
      </c>
      <c r="C337" s="45" t="s">
        <v>132</v>
      </c>
      <c r="D337" s="45" t="s">
        <v>131</v>
      </c>
      <c r="E337" s="45" t="s">
        <v>110</v>
      </c>
    </row>
    <row r="338" spans="1:5" ht="12.75">
      <c r="A338" s="20" t="s">
        <v>124</v>
      </c>
      <c r="B338" s="24" t="e">
        <f>C323</f>
        <v>#DIV/0!</v>
      </c>
      <c r="C338" s="4" t="s">
        <v>133</v>
      </c>
      <c r="D338" s="24" t="e">
        <f>InputSheet!K$28+InputSheet!L$28+InputSheet!M$28</f>
        <v>#DIV/0!</v>
      </c>
      <c r="E338" s="4" t="e">
        <f>IF(B338&gt;D338,1,0)</f>
        <v>#DIV/0!</v>
      </c>
    </row>
    <row r="339" spans="1:5" ht="12.75">
      <c r="A339" s="20" t="s">
        <v>125</v>
      </c>
      <c r="B339" s="4" t="e">
        <f>C324</f>
        <v>#DIV/0!</v>
      </c>
      <c r="C339" s="4" t="s">
        <v>134</v>
      </c>
      <c r="D339" s="24" t="e">
        <f>InputSheet!J$28+InputSheet!L$28+InputSheet!M$28</f>
        <v>#DIV/0!</v>
      </c>
      <c r="E339" s="4" t="e">
        <f>IF(B339&gt;D339,1,0)</f>
        <v>#DIV/0!</v>
      </c>
    </row>
    <row r="340" spans="1:5" ht="12.75">
      <c r="A340" s="20" t="s">
        <v>126</v>
      </c>
      <c r="B340" s="4" t="e">
        <f>C325</f>
        <v>#DIV/0!</v>
      </c>
      <c r="C340" s="4" t="s">
        <v>135</v>
      </c>
      <c r="D340" s="24" t="e">
        <f>InputSheet!J$28+InputSheet!K$28+InputSheet!M$28</f>
        <v>#DIV/0!</v>
      </c>
      <c r="E340" s="4" t="e">
        <f>IF(B340&gt;D340,1,0)</f>
        <v>#DIV/0!</v>
      </c>
    </row>
    <row r="341" spans="1:5" ht="12.75">
      <c r="A341" s="20" t="s">
        <v>127</v>
      </c>
      <c r="B341" s="4" t="e">
        <f>C326</f>
        <v>#DIV/0!</v>
      </c>
      <c r="C341" s="4" t="s">
        <v>136</v>
      </c>
      <c r="D341" s="24" t="e">
        <f>InputSheet!J$28+InputSheet!K$28+InputSheet!L$28</f>
        <v>#DIV/0!</v>
      </c>
      <c r="E341" s="4" t="e">
        <f>IF(B341&gt;D341,1,0)</f>
        <v>#DIV/0!</v>
      </c>
    </row>
    <row r="342" spans="5:6" ht="12.75">
      <c r="E342" s="4" t="e">
        <f>MAX(E338:E341)</f>
        <v>#DIV/0!</v>
      </c>
      <c r="F342" t="e">
        <f>IF(E342&gt;=2,"*Try Smaller Closure","OK")</f>
        <v>#DIV/0!</v>
      </c>
    </row>
    <row r="343" ht="12.75">
      <c r="B343" s="20" t="s">
        <v>145</v>
      </c>
    </row>
  </sheetData>
  <sheetProtection/>
  <mergeCells count="4">
    <mergeCell ref="D30:F33"/>
    <mergeCell ref="D110:F113"/>
    <mergeCell ref="D190:F193"/>
    <mergeCell ref="D270:F27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39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18.8515625" style="0" customWidth="1"/>
    <col min="2" max="2" width="11.57421875" style="0" customWidth="1"/>
    <col min="3" max="3" width="9.28125" style="0" customWidth="1"/>
    <col min="4" max="4" width="13.28125" style="0" customWidth="1"/>
    <col min="5" max="5" width="9.57421875" style="0" customWidth="1"/>
    <col min="6" max="6" width="11.421875" style="0" customWidth="1"/>
    <col min="7" max="7" width="9.8515625" style="0" customWidth="1"/>
    <col min="8" max="8" width="14.00390625" style="0" customWidth="1"/>
    <col min="9" max="9" width="11.8515625" style="0" customWidth="1"/>
    <col min="10" max="10" width="11.57421875" style="0" customWidth="1"/>
    <col min="11" max="11" width="9.28125" style="0" customWidth="1"/>
    <col min="12" max="12" width="13.28125" style="0" customWidth="1"/>
    <col min="13" max="13" width="9.57421875" style="0" customWidth="1"/>
    <col min="14" max="14" width="11.421875" style="0" customWidth="1"/>
    <col min="15" max="15" width="9.8515625" style="0" customWidth="1"/>
    <col min="16" max="16" width="13.7109375" style="0" customWidth="1"/>
  </cols>
  <sheetData>
    <row r="1" spans="1:10" ht="23.25">
      <c r="A1" s="216" t="s">
        <v>180</v>
      </c>
      <c r="B1" s="216"/>
      <c r="C1" s="216"/>
      <c r="D1" s="216"/>
      <c r="E1" s="216"/>
      <c r="F1" s="216"/>
      <c r="G1" s="216"/>
      <c r="H1" s="216"/>
      <c r="I1" s="216"/>
      <c r="J1" s="216"/>
    </row>
    <row r="4" spans="2:9" ht="12.75">
      <c r="B4" s="50" t="s">
        <v>9</v>
      </c>
      <c r="C4" s="51"/>
      <c r="D4" s="51">
        <f>InputSheet!C6</f>
        <v>0</v>
      </c>
      <c r="E4" s="51"/>
      <c r="F4" s="51"/>
      <c r="G4" s="52" t="s">
        <v>7</v>
      </c>
      <c r="H4" s="51">
        <f>InputSheet!C10</f>
        <v>0</v>
      </c>
      <c r="I4" s="53"/>
    </row>
    <row r="5" spans="2:9" ht="12.75">
      <c r="B5" s="54" t="s">
        <v>10</v>
      </c>
      <c r="C5" s="8"/>
      <c r="D5" s="8">
        <f>InputSheet!C7</f>
        <v>0</v>
      </c>
      <c r="E5" s="8"/>
      <c r="F5" s="8"/>
      <c r="G5" s="55"/>
      <c r="H5" s="8"/>
      <c r="I5" s="56"/>
    </row>
    <row r="6" spans="2:9" ht="12.75">
      <c r="B6" s="54" t="s">
        <v>5</v>
      </c>
      <c r="C6" s="8"/>
      <c r="D6" s="8">
        <f>InputSheet!C8</f>
        <v>0</v>
      </c>
      <c r="E6" s="8"/>
      <c r="F6" s="8"/>
      <c r="G6" s="55" t="s">
        <v>8</v>
      </c>
      <c r="H6" s="8">
        <f>InputSheet!C4</f>
        <v>0</v>
      </c>
      <c r="I6" s="56"/>
    </row>
    <row r="7" spans="2:9" ht="12.75">
      <c r="B7" s="57" t="s">
        <v>6</v>
      </c>
      <c r="C7" s="6"/>
      <c r="D7" s="6">
        <f>InputSheet!C9</f>
        <v>0</v>
      </c>
      <c r="E7" s="6"/>
      <c r="F7" s="6"/>
      <c r="G7" s="58" t="s">
        <v>11</v>
      </c>
      <c r="H7" s="60">
        <f>InputSheet!C5</f>
        <v>39876.365922916666</v>
      </c>
      <c r="I7" s="59"/>
    </row>
    <row r="9" ht="13.5" thickBot="1"/>
    <row r="10" spans="1:10" ht="16.5" thickTop="1">
      <c r="A10" s="67"/>
      <c r="B10" s="68">
        <f>InputSheet!I25</f>
        <v>0</v>
      </c>
      <c r="C10" s="217">
        <f>B10</f>
        <v>0</v>
      </c>
      <c r="D10" s="218"/>
      <c r="E10" s="219">
        <f>InputSheet!I26</f>
        <v>0</v>
      </c>
      <c r="F10" s="220"/>
      <c r="G10" s="217">
        <f>InputSheet!I27</f>
        <v>0</v>
      </c>
      <c r="H10" s="218"/>
      <c r="I10" s="219">
        <f>InputSheet!I28</f>
        <v>0</v>
      </c>
      <c r="J10" s="221"/>
    </row>
    <row r="11" spans="1:10" ht="12.75">
      <c r="A11" s="77" t="s">
        <v>146</v>
      </c>
      <c r="B11" s="69" t="s">
        <v>147</v>
      </c>
      <c r="C11" s="70" t="s">
        <v>148</v>
      </c>
      <c r="D11" s="69" t="s">
        <v>149</v>
      </c>
      <c r="E11" s="71" t="s">
        <v>148</v>
      </c>
      <c r="F11" s="71" t="s">
        <v>150</v>
      </c>
      <c r="G11" s="70" t="s">
        <v>148</v>
      </c>
      <c r="H11" s="69" t="s">
        <v>149</v>
      </c>
      <c r="I11" s="71" t="s">
        <v>148</v>
      </c>
      <c r="J11" s="72" t="s">
        <v>150</v>
      </c>
    </row>
    <row r="12" spans="1:10" ht="13.5" thickBot="1">
      <c r="A12" s="78" t="s">
        <v>151</v>
      </c>
      <c r="B12" s="73" t="s">
        <v>152</v>
      </c>
      <c r="C12" s="74" t="s">
        <v>152</v>
      </c>
      <c r="D12" s="73" t="s">
        <v>153</v>
      </c>
      <c r="E12" s="75" t="s">
        <v>152</v>
      </c>
      <c r="F12" s="75" t="s">
        <v>153</v>
      </c>
      <c r="G12" s="74" t="s">
        <v>152</v>
      </c>
      <c r="H12" s="73" t="s">
        <v>153</v>
      </c>
      <c r="I12" s="75" t="s">
        <v>152</v>
      </c>
      <c r="J12" s="76" t="s">
        <v>153</v>
      </c>
    </row>
    <row r="13" spans="1:10" ht="13.5" thickTop="1">
      <c r="A13" s="61"/>
      <c r="B13" s="64"/>
      <c r="C13" s="66"/>
      <c r="D13" s="64"/>
      <c r="E13" s="8"/>
      <c r="F13" s="8"/>
      <c r="G13" s="66"/>
      <c r="H13" s="64"/>
      <c r="I13" s="8"/>
      <c r="J13" s="9"/>
    </row>
    <row r="14" spans="1:10" ht="12.75">
      <c r="A14" s="61" t="s">
        <v>183</v>
      </c>
      <c r="B14" s="90">
        <f>InputSheet!D65</f>
        <v>0</v>
      </c>
      <c r="C14" s="91">
        <f>Calcs!D61</f>
        <v>0</v>
      </c>
      <c r="D14" s="92">
        <f>ROUND(Calcs!C61,-2)</f>
        <v>0</v>
      </c>
      <c r="E14" s="91" t="e">
        <f>Calcs!D141</f>
        <v>#DIV/0!</v>
      </c>
      <c r="F14" s="92" t="e">
        <f>ROUND(Calcs!C141,-2)</f>
        <v>#DIV/0!</v>
      </c>
      <c r="G14" s="91" t="e">
        <f>Calcs!D221</f>
        <v>#DIV/0!</v>
      </c>
      <c r="H14" s="92" t="e">
        <f>ROUND(Calcs!C221,-2)</f>
        <v>#DIV/0!</v>
      </c>
      <c r="I14" s="15" t="e">
        <f>Calcs!D301</f>
        <v>#DIV/0!</v>
      </c>
      <c r="J14" s="94" t="e">
        <f>ROUND(Calcs!C301,-2)</f>
        <v>#DIV/0!</v>
      </c>
    </row>
    <row r="15" spans="1:10" ht="12.75">
      <c r="A15" s="61" t="s">
        <v>184</v>
      </c>
      <c r="B15" s="90">
        <f>InputSheet!D66</f>
        <v>1</v>
      </c>
      <c r="C15" s="91">
        <f>Calcs!D60</f>
        <v>0</v>
      </c>
      <c r="D15" s="92">
        <f>ROUND(Calcs!C60,-2)</f>
        <v>0</v>
      </c>
      <c r="E15" s="91" t="e">
        <f>Calcs!D140</f>
        <v>#DIV/0!</v>
      </c>
      <c r="F15" s="92" t="e">
        <f>ROUND(Calcs!C140,-2)</f>
        <v>#DIV/0!</v>
      </c>
      <c r="G15" s="91" t="e">
        <f>Calcs!D220</f>
        <v>#DIV/0!</v>
      </c>
      <c r="H15" s="92" t="e">
        <f>ROUND(Calcs!C220,-2)</f>
        <v>#DIV/0!</v>
      </c>
      <c r="I15" s="15" t="e">
        <f>Calcs!D300</f>
        <v>#DIV/0!</v>
      </c>
      <c r="J15" s="94" t="e">
        <f>ROUND(Calcs!C300,-2)</f>
        <v>#DIV/0!</v>
      </c>
    </row>
    <row r="16" spans="1:10" ht="12.75">
      <c r="A16" s="61" t="s">
        <v>185</v>
      </c>
      <c r="B16" s="90">
        <f>InputSheet!D67</f>
        <v>0</v>
      </c>
      <c r="C16" s="91">
        <f>Calcs!D62</f>
        <v>0</v>
      </c>
      <c r="D16" s="92">
        <f>ROUND(Calcs!C62,-2)</f>
        <v>0</v>
      </c>
      <c r="E16" s="91" t="e">
        <f>Calcs!D142</f>
        <v>#DIV/0!</v>
      </c>
      <c r="F16" s="92" t="e">
        <f>ROUND(Calcs!C142,-2)</f>
        <v>#DIV/0!</v>
      </c>
      <c r="G16" s="91" t="e">
        <f>Calcs!D222</f>
        <v>#DIV/0!</v>
      </c>
      <c r="H16" s="92" t="e">
        <f>ROUND(Calcs!C222,-2)</f>
        <v>#DIV/0!</v>
      </c>
      <c r="I16" s="15" t="e">
        <f>Calcs!D302</f>
        <v>#DIV/0!</v>
      </c>
      <c r="J16" s="94" t="e">
        <f>ROUND(Calcs!C302,-2)</f>
        <v>#DIV/0!</v>
      </c>
    </row>
    <row r="17" spans="1:10" ht="12.75">
      <c r="A17" s="61"/>
      <c r="B17" s="63" t="s">
        <v>154</v>
      </c>
      <c r="C17" s="65"/>
      <c r="D17" s="63"/>
      <c r="E17" s="3"/>
      <c r="F17" s="3"/>
      <c r="G17" s="65"/>
      <c r="H17" s="63"/>
      <c r="I17" s="3"/>
      <c r="J17" s="62"/>
    </row>
    <row r="18" spans="1:10" s="1" customFormat="1" ht="13.5" thickBot="1">
      <c r="A18" s="79" t="s">
        <v>155</v>
      </c>
      <c r="B18" s="80"/>
      <c r="C18" s="83"/>
      <c r="D18" s="84">
        <f>SUM(D14:D16)</f>
        <v>0</v>
      </c>
      <c r="E18" s="85"/>
      <c r="F18" s="84" t="e">
        <f>SUM(F14:F16)</f>
        <v>#DIV/0!</v>
      </c>
      <c r="G18" s="83"/>
      <c r="H18" s="84" t="e">
        <f>SUM(H14:H16)</f>
        <v>#DIV/0!</v>
      </c>
      <c r="I18" s="85"/>
      <c r="J18" s="86" t="e">
        <f>SUM(J14:J16)</f>
        <v>#DIV/0!</v>
      </c>
    </row>
    <row r="19" spans="1:10" ht="12.75">
      <c r="A19" s="61"/>
      <c r="B19" s="63" t="s">
        <v>154</v>
      </c>
      <c r="C19" s="65"/>
      <c r="D19" s="63"/>
      <c r="E19" s="3"/>
      <c r="F19" s="63"/>
      <c r="G19" s="65"/>
      <c r="H19" s="63"/>
      <c r="I19" s="3"/>
      <c r="J19" s="62"/>
    </row>
    <row r="20" spans="1:10" ht="12.75">
      <c r="A20" s="61" t="s">
        <v>186</v>
      </c>
      <c r="B20" s="90">
        <f>InputSheet!D69</f>
        <v>0</v>
      </c>
      <c r="C20" s="91">
        <f>Calcs!D67</f>
        <v>0</v>
      </c>
      <c r="D20" s="92">
        <f>ROUND(Calcs!C67,-2)</f>
        <v>0</v>
      </c>
      <c r="E20" s="91" t="e">
        <f>Calcs!D147</f>
        <v>#DIV/0!</v>
      </c>
      <c r="F20" s="92" t="e">
        <f>ROUND(Calcs!C147,-2)</f>
        <v>#DIV/0!</v>
      </c>
      <c r="G20" s="91" t="e">
        <f>Calcs!D227</f>
        <v>#DIV/0!</v>
      </c>
      <c r="H20" s="92" t="e">
        <f>ROUND(Calcs!C227,-2)</f>
        <v>#DIV/0!</v>
      </c>
      <c r="I20" s="15" t="e">
        <f>Calcs!D307</f>
        <v>#DIV/0!</v>
      </c>
      <c r="J20" s="94" t="e">
        <f>ROUND(Calcs!C307,-2)</f>
        <v>#DIV/0!</v>
      </c>
    </row>
    <row r="21" spans="1:10" ht="12.75">
      <c r="A21" s="61" t="s">
        <v>187</v>
      </c>
      <c r="B21" s="90">
        <f>InputSheet!D70</f>
        <v>1</v>
      </c>
      <c r="C21" s="91">
        <f>Calcs!D65</f>
        <v>0</v>
      </c>
      <c r="D21" s="92">
        <f>ROUND(Calcs!C65,-2)</f>
        <v>0</v>
      </c>
      <c r="E21" s="91" t="e">
        <f>Calcs!D145</f>
        <v>#DIV/0!</v>
      </c>
      <c r="F21" s="92" t="e">
        <f>ROUND(Calcs!C145,-2)</f>
        <v>#DIV/0!</v>
      </c>
      <c r="G21" s="91" t="e">
        <f>Calcs!D225</f>
        <v>#DIV/0!</v>
      </c>
      <c r="H21" s="92" t="e">
        <f>ROUND(Calcs!C225,-2)</f>
        <v>#DIV/0!</v>
      </c>
      <c r="I21" s="15" t="e">
        <f>Calcs!D305</f>
        <v>#DIV/0!</v>
      </c>
      <c r="J21" s="94" t="e">
        <f>ROUND(Calcs!C305,-2)</f>
        <v>#DIV/0!</v>
      </c>
    </row>
    <row r="22" spans="1:10" ht="12.75">
      <c r="A22" s="61" t="s">
        <v>188</v>
      </c>
      <c r="B22" s="90">
        <f>InputSheet!D71</f>
        <v>0</v>
      </c>
      <c r="C22" s="91">
        <f>Calcs!D66</f>
        <v>0</v>
      </c>
      <c r="D22" s="92">
        <f>ROUND(Calcs!C66,-2)</f>
        <v>0</v>
      </c>
      <c r="E22" s="91" t="e">
        <f>Calcs!D146</f>
        <v>#DIV/0!</v>
      </c>
      <c r="F22" s="92" t="e">
        <f>ROUND(Calcs!C146,-2)</f>
        <v>#DIV/0!</v>
      </c>
      <c r="G22" s="91" t="e">
        <f>Calcs!D226</f>
        <v>#DIV/0!</v>
      </c>
      <c r="H22" s="92" t="e">
        <f>ROUND(Calcs!C226,-2)</f>
        <v>#DIV/0!</v>
      </c>
      <c r="I22" s="15" t="e">
        <f>Calcs!D306</f>
        <v>#DIV/0!</v>
      </c>
      <c r="J22" s="94" t="e">
        <f>ROUND(Calcs!C306,-2)</f>
        <v>#DIV/0!</v>
      </c>
    </row>
    <row r="23" spans="1:10" ht="12.75">
      <c r="A23" s="61"/>
      <c r="B23" s="63" t="s">
        <v>154</v>
      </c>
      <c r="C23" s="65"/>
      <c r="D23" s="63"/>
      <c r="E23" s="3"/>
      <c r="F23" s="63"/>
      <c r="G23" s="65"/>
      <c r="H23" s="63"/>
      <c r="I23" s="3"/>
      <c r="J23" s="62"/>
    </row>
    <row r="24" spans="1:10" s="1" customFormat="1" ht="13.5" thickBot="1">
      <c r="A24" s="79" t="s">
        <v>156</v>
      </c>
      <c r="B24" s="80"/>
      <c r="C24" s="83"/>
      <c r="D24" s="175">
        <f>SUM(D20:D22)</f>
        <v>0</v>
      </c>
      <c r="E24" s="85"/>
      <c r="F24" s="175" t="e">
        <f>SUM(F20:F22)</f>
        <v>#DIV/0!</v>
      </c>
      <c r="G24" s="83"/>
      <c r="H24" s="175" t="e">
        <f>SUM(H20:H22)</f>
        <v>#DIV/0!</v>
      </c>
      <c r="I24" s="85"/>
      <c r="J24" s="86" t="e">
        <f>SUM(J20:J22)</f>
        <v>#DIV/0!</v>
      </c>
    </row>
    <row r="25" spans="1:10" ht="12.75">
      <c r="A25" s="61"/>
      <c r="B25" s="63"/>
      <c r="C25" s="65"/>
      <c r="D25" s="63"/>
      <c r="E25" s="3"/>
      <c r="F25" s="63"/>
      <c r="G25" s="65"/>
      <c r="H25" s="63"/>
      <c r="I25" s="3"/>
      <c r="J25" s="62"/>
    </row>
    <row r="26" spans="1:10" ht="12.75">
      <c r="A26" s="61" t="s">
        <v>189</v>
      </c>
      <c r="B26" s="90">
        <f>InputSheet!D73</f>
        <v>0</v>
      </c>
      <c r="C26" s="91">
        <f>Calcs!D71</f>
        <v>0</v>
      </c>
      <c r="D26" s="92">
        <f>ROUND(Calcs!C71,-2)</f>
        <v>0</v>
      </c>
      <c r="E26" s="91" t="e">
        <f>Calcs!D151</f>
        <v>#DIV/0!</v>
      </c>
      <c r="F26" s="92" t="e">
        <f>ROUND(Calcs!C151,-2)</f>
        <v>#DIV/0!</v>
      </c>
      <c r="G26" s="91" t="e">
        <f>Calcs!D231</f>
        <v>#DIV/0!</v>
      </c>
      <c r="H26" s="92" t="e">
        <f>ROUND(Calcs!C231,-2)</f>
        <v>#DIV/0!</v>
      </c>
      <c r="I26" s="15" t="e">
        <f>Calcs!D311</f>
        <v>#DIV/0!</v>
      </c>
      <c r="J26" s="94" t="e">
        <f>ROUND(Calcs!C311,-2)</f>
        <v>#DIV/0!</v>
      </c>
    </row>
    <row r="27" spans="1:10" ht="12.75">
      <c r="A27" s="61" t="s">
        <v>190</v>
      </c>
      <c r="B27" s="90">
        <f>InputSheet!D74</f>
        <v>1</v>
      </c>
      <c r="C27" s="91">
        <f>Calcs!D72</f>
        <v>0</v>
      </c>
      <c r="D27" s="92">
        <f>ROUND(Calcs!C72,-2)</f>
        <v>0</v>
      </c>
      <c r="E27" s="91" t="e">
        <f>Calcs!D152</f>
        <v>#DIV/0!</v>
      </c>
      <c r="F27" s="92" t="e">
        <f>ROUND(Calcs!C152,-2)</f>
        <v>#DIV/0!</v>
      </c>
      <c r="G27" s="91" t="e">
        <f>Calcs!D232</f>
        <v>#DIV/0!</v>
      </c>
      <c r="H27" s="92" t="e">
        <f>ROUND(Calcs!C232,-2)</f>
        <v>#DIV/0!</v>
      </c>
      <c r="I27" s="15" t="e">
        <f>Calcs!D312</f>
        <v>#DIV/0!</v>
      </c>
      <c r="J27" s="94" t="e">
        <f>ROUND(Calcs!C312,-2)</f>
        <v>#DIV/0!</v>
      </c>
    </row>
    <row r="28" spans="1:10" ht="12.75">
      <c r="A28" s="61" t="s">
        <v>191</v>
      </c>
      <c r="B28" s="90">
        <f>InputSheet!D75</f>
        <v>0</v>
      </c>
      <c r="C28" s="91">
        <f>Calcs!D70</f>
        <v>0</v>
      </c>
      <c r="D28" s="92">
        <f>ROUND(Calcs!C70,-2)</f>
        <v>0</v>
      </c>
      <c r="E28" s="91" t="e">
        <f>Calcs!D150</f>
        <v>#DIV/0!</v>
      </c>
      <c r="F28" s="92" t="e">
        <f>ROUND(Calcs!C150,-2)</f>
        <v>#DIV/0!</v>
      </c>
      <c r="G28" s="91" t="e">
        <f>Calcs!D230</f>
        <v>#DIV/0!</v>
      </c>
      <c r="H28" s="92" t="e">
        <f>ROUND(Calcs!C230,-2)</f>
        <v>#DIV/0!</v>
      </c>
      <c r="I28" s="15" t="e">
        <f>Calcs!D310</f>
        <v>#DIV/0!</v>
      </c>
      <c r="J28" s="94" t="e">
        <f>ROUND(Calcs!C310,-2)</f>
        <v>#DIV/0!</v>
      </c>
    </row>
    <row r="29" spans="1:10" ht="12.75">
      <c r="A29" s="61"/>
      <c r="B29" s="63" t="s">
        <v>154</v>
      </c>
      <c r="C29" s="65"/>
      <c r="D29" s="63"/>
      <c r="E29" s="3"/>
      <c r="F29" s="63"/>
      <c r="G29" s="65"/>
      <c r="H29" s="63"/>
      <c r="I29" s="3"/>
      <c r="J29" s="62"/>
    </row>
    <row r="30" spans="1:10" s="1" customFormat="1" ht="13.5" thickBot="1">
      <c r="A30" s="79" t="s">
        <v>157</v>
      </c>
      <c r="B30" s="80"/>
      <c r="C30" s="83"/>
      <c r="D30" s="175">
        <f>SUM(D26:D28)</f>
        <v>0</v>
      </c>
      <c r="E30" s="85"/>
      <c r="F30" s="175" t="e">
        <f>SUM(F26:F28)</f>
        <v>#DIV/0!</v>
      </c>
      <c r="G30" s="83"/>
      <c r="H30" s="175" t="e">
        <f>SUM(H26:H28)</f>
        <v>#DIV/0!</v>
      </c>
      <c r="I30" s="85"/>
      <c r="J30" s="86" t="e">
        <f>SUM(J26:J28)</f>
        <v>#DIV/0!</v>
      </c>
    </row>
    <row r="31" spans="1:10" ht="12.75">
      <c r="A31" s="61"/>
      <c r="B31" s="63" t="s">
        <v>154</v>
      </c>
      <c r="C31" s="65"/>
      <c r="D31" s="63"/>
      <c r="E31" s="3"/>
      <c r="F31" s="63"/>
      <c r="G31" s="65"/>
      <c r="H31" s="63"/>
      <c r="I31" s="3"/>
      <c r="J31" s="62"/>
    </row>
    <row r="32" spans="1:10" ht="12.75">
      <c r="A32" s="61" t="s">
        <v>192</v>
      </c>
      <c r="B32" s="90">
        <f>InputSheet!D77</f>
        <v>0</v>
      </c>
      <c r="C32" s="91">
        <f>Calcs!D75</f>
        <v>0</v>
      </c>
      <c r="D32" s="92">
        <f>ROUND(Calcs!C75,-2)</f>
        <v>0</v>
      </c>
      <c r="E32" s="91" t="e">
        <f>Calcs!D155</f>
        <v>#DIV/0!</v>
      </c>
      <c r="F32" s="92" t="e">
        <f>ROUND(Calcs!C155,-2)</f>
        <v>#DIV/0!</v>
      </c>
      <c r="G32" s="91" t="e">
        <f>Calcs!D235</f>
        <v>#DIV/0!</v>
      </c>
      <c r="H32" s="92" t="e">
        <f>ROUND(Calcs!C235,-2)</f>
        <v>#DIV/0!</v>
      </c>
      <c r="I32" s="15" t="e">
        <f>Calcs!D315</f>
        <v>#DIV/0!</v>
      </c>
      <c r="J32" s="94" t="e">
        <f>ROUND(Calcs!C315,-2)</f>
        <v>#DIV/0!</v>
      </c>
    </row>
    <row r="33" spans="1:10" ht="12.75">
      <c r="A33" s="61" t="s">
        <v>193</v>
      </c>
      <c r="B33" s="90">
        <f>InputSheet!D78</f>
        <v>1</v>
      </c>
      <c r="C33" s="91">
        <f>Calcs!D77</f>
        <v>0</v>
      </c>
      <c r="D33" s="92">
        <f>ROUND(Calcs!C77,-2)</f>
        <v>0</v>
      </c>
      <c r="E33" s="91" t="e">
        <f>Calcs!D157</f>
        <v>#DIV/0!</v>
      </c>
      <c r="F33" s="92" t="e">
        <f>ROUND(Calcs!C157,-2)</f>
        <v>#DIV/0!</v>
      </c>
      <c r="G33" s="91" t="e">
        <f>Calcs!D237</f>
        <v>#DIV/0!</v>
      </c>
      <c r="H33" s="92" t="e">
        <f>ROUND(Calcs!C237,-2)</f>
        <v>#DIV/0!</v>
      </c>
      <c r="I33" s="15" t="e">
        <f>Calcs!D317</f>
        <v>#DIV/0!</v>
      </c>
      <c r="J33" s="94" t="e">
        <f>ROUND(Calcs!C317,-2)</f>
        <v>#DIV/0!</v>
      </c>
    </row>
    <row r="34" spans="1:10" ht="12.75">
      <c r="A34" s="61" t="s">
        <v>194</v>
      </c>
      <c r="B34" s="90">
        <f>InputSheet!D79</f>
        <v>0</v>
      </c>
      <c r="C34" s="91">
        <f>Calcs!D76</f>
        <v>0</v>
      </c>
      <c r="D34" s="92">
        <f>ROUND(Calcs!C76,-2)</f>
        <v>0</v>
      </c>
      <c r="E34" s="91" t="e">
        <f>Calcs!D156</f>
        <v>#DIV/0!</v>
      </c>
      <c r="F34" s="92" t="e">
        <f>ROUND(Calcs!C156,-2)</f>
        <v>#DIV/0!</v>
      </c>
      <c r="G34" s="91" t="e">
        <f>Calcs!D236</f>
        <v>#DIV/0!</v>
      </c>
      <c r="H34" s="92" t="e">
        <f>ROUND(Calcs!C236,-2)</f>
        <v>#DIV/0!</v>
      </c>
      <c r="I34" s="15" t="e">
        <f>Calcs!D316</f>
        <v>#DIV/0!</v>
      </c>
      <c r="J34" s="94" t="e">
        <f>ROUND(Calcs!C316,-2)</f>
        <v>#DIV/0!</v>
      </c>
    </row>
    <row r="35" spans="1:10" ht="12.75">
      <c r="A35" s="61"/>
      <c r="B35" s="63" t="s">
        <v>154</v>
      </c>
      <c r="C35" s="65"/>
      <c r="D35" s="63"/>
      <c r="E35" s="3"/>
      <c r="F35" s="63"/>
      <c r="G35" s="65"/>
      <c r="H35" s="63"/>
      <c r="I35" s="3"/>
      <c r="J35" s="62"/>
    </row>
    <row r="36" spans="1:10" s="1" customFormat="1" ht="13.5" thickBot="1">
      <c r="A36" s="81" t="s">
        <v>158</v>
      </c>
      <c r="B36" s="82"/>
      <c r="C36" s="87"/>
      <c r="D36" s="93">
        <f>SUM(D32:D34)</f>
        <v>0</v>
      </c>
      <c r="E36" s="88"/>
      <c r="F36" s="93" t="e">
        <f>SUM(F32:F34)</f>
        <v>#DIV/0!</v>
      </c>
      <c r="G36" s="87"/>
      <c r="H36" s="93" t="e">
        <f>SUM(H32:H34)</f>
        <v>#DIV/0!</v>
      </c>
      <c r="I36" s="88"/>
      <c r="J36" s="89" t="e">
        <f>SUM(J32:J34)</f>
        <v>#DIV/0!</v>
      </c>
    </row>
    <row r="37" spans="1:10" s="1" customFormat="1" ht="13.5" thickTop="1">
      <c r="A37" s="55"/>
      <c r="B37" s="10"/>
      <c r="C37" s="10"/>
      <c r="D37" s="10"/>
      <c r="E37" s="10"/>
      <c r="F37" s="10"/>
      <c r="G37" s="10"/>
      <c r="H37" s="10"/>
      <c r="I37" s="10"/>
      <c r="J37" s="10"/>
    </row>
    <row r="38" ht="12.75">
      <c r="A38" t="s">
        <v>159</v>
      </c>
    </row>
    <row r="39" ht="12.75">
      <c r="A39" t="s">
        <v>160</v>
      </c>
    </row>
  </sheetData>
  <sheetProtection sheet="1" objects="1" scenarios="1"/>
  <mergeCells count="5">
    <mergeCell ref="A1:J1"/>
    <mergeCell ref="C10:D10"/>
    <mergeCell ref="E10:F10"/>
    <mergeCell ref="G10:H10"/>
    <mergeCell ref="I10:J10"/>
  </mergeCells>
  <printOptions/>
  <pageMargins left="0.75" right="0.75" top="0.72" bottom="0.68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V172"/>
  <sheetViews>
    <sheetView showGridLines="0" zoomScalePageLayoutView="0" workbookViewId="0" topLeftCell="A43">
      <selection activeCell="A46" sqref="A46:K46"/>
    </sheetView>
  </sheetViews>
  <sheetFormatPr defaultColWidth="9.140625" defaultRowHeight="12.75"/>
  <cols>
    <col min="1" max="1" width="8.00390625" style="5" customWidth="1"/>
    <col min="2" max="2" width="4.7109375" style="5" customWidth="1"/>
    <col min="3" max="8" width="6.140625" style="5" customWidth="1"/>
    <col min="9" max="9" width="6.7109375" style="5" customWidth="1"/>
    <col min="10" max="10" width="6.57421875" style="5" customWidth="1"/>
    <col min="11" max="11" width="7.8515625" style="5" customWidth="1"/>
    <col min="12" max="12" width="8.00390625" style="5" customWidth="1"/>
    <col min="13" max="13" width="4.7109375" style="5" customWidth="1"/>
    <col min="14" max="19" width="6.140625" style="5" customWidth="1"/>
    <col min="20" max="21" width="6.8515625" style="5" customWidth="1"/>
    <col min="22" max="22" width="7.8515625" style="5" customWidth="1"/>
    <col min="23" max="23" width="6.8515625" style="5" customWidth="1"/>
    <col min="24" max="16384" width="9.140625" style="5" customWidth="1"/>
  </cols>
  <sheetData>
    <row r="1" spans="1:22" ht="20.25">
      <c r="A1" s="258" t="str">
        <f>"PROJECT TRAFFIC FOR "&amp;InputSheet!$C$6&amp;" AT "&amp;InputSheet!$C$7&amp;":  "&amp;InputSheet!$C$8&amp;" TO "&amp;InputSheet!$C$9</f>
        <v>PROJECT TRAFFIC FOR  AT :   TO 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ht="13.5" thickBot="1"/>
    <row r="3" spans="1:22" ht="15.75">
      <c r="A3" s="108"/>
      <c r="B3" s="109"/>
      <c r="C3" s="110" t="str">
        <f>"2-WAY AADT TURNING MOVEMENTS IN YEAR "&amp;InputSheet!I25</f>
        <v>2-WAY AADT TURNING MOVEMENTS IN YEAR 0</v>
      </c>
      <c r="D3" s="109"/>
      <c r="E3" s="109"/>
      <c r="F3" s="109"/>
      <c r="G3" s="109"/>
      <c r="H3" s="109"/>
      <c r="I3" s="109"/>
      <c r="J3" s="109"/>
      <c r="K3" s="111"/>
      <c r="L3" s="108"/>
      <c r="M3" s="109"/>
      <c r="N3" s="110" t="str">
        <f>"2-WAY AADT TURNING MOVEMENTS IN YEAR "&amp;InputSheet!I26</f>
        <v>2-WAY AADT TURNING MOVEMENTS IN YEAR 0</v>
      </c>
      <c r="O3" s="109"/>
      <c r="P3" s="109"/>
      <c r="Q3" s="109"/>
      <c r="R3" s="109"/>
      <c r="S3" s="109"/>
      <c r="T3" s="109"/>
      <c r="U3" s="109"/>
      <c r="V3" s="111"/>
    </row>
    <row r="4" spans="1:22" ht="12.75">
      <c r="A4" s="112"/>
      <c r="B4" s="7"/>
      <c r="C4" s="7"/>
      <c r="D4" s="7"/>
      <c r="E4" s="7"/>
      <c r="F4" s="7"/>
      <c r="G4" s="7"/>
      <c r="H4" s="7"/>
      <c r="I4" s="7"/>
      <c r="J4" s="7"/>
      <c r="K4" s="113"/>
      <c r="L4" s="112"/>
      <c r="M4" s="7"/>
      <c r="N4" s="7"/>
      <c r="O4" s="7"/>
      <c r="P4" s="7"/>
      <c r="Q4" s="7"/>
      <c r="R4" s="7"/>
      <c r="S4" s="7"/>
      <c r="T4" s="7"/>
      <c r="U4" s="7"/>
      <c r="V4" s="113"/>
    </row>
    <row r="5" spans="1:22" ht="12.75">
      <c r="A5" s="246">
        <f>IF(Data!$B$1="yes",InputSheet!$C$6,InputSheet!$C$7)</f>
        <v>0</v>
      </c>
      <c r="B5" s="243"/>
      <c r="C5" s="243"/>
      <c r="D5" s="243"/>
      <c r="E5" s="243"/>
      <c r="F5" s="247">
        <f>ROUND(E6+C13+G18+I10,-2)</f>
        <v>0</v>
      </c>
      <c r="G5" s="249"/>
      <c r="H5" s="7"/>
      <c r="I5" s="7"/>
      <c r="J5" s="7"/>
      <c r="K5" s="113"/>
      <c r="L5" s="246">
        <f>IF(Data!$B$1="yes",InputSheet!$C$6,InputSheet!$C$7)</f>
        <v>0</v>
      </c>
      <c r="M5" s="243"/>
      <c r="N5" s="243"/>
      <c r="O5" s="243"/>
      <c r="P5" s="243"/>
      <c r="Q5" s="249" t="e">
        <f>ROUND(P6+N13+R18+T10,-2)</f>
        <v>#DIV/0!</v>
      </c>
      <c r="R5" s="249"/>
      <c r="S5" s="7"/>
      <c r="T5" s="7"/>
      <c r="U5" s="7"/>
      <c r="V5" s="113"/>
    </row>
    <row r="6" spans="1:22" ht="12.75">
      <c r="A6" s="112"/>
      <c r="B6" s="7"/>
      <c r="C6" s="7"/>
      <c r="D6" s="7"/>
      <c r="E6" s="99">
        <f>ROUND(SUM(Calcs!$C70:$C72),-2)</f>
        <v>0</v>
      </c>
      <c r="F6" s="7"/>
      <c r="G6" s="7"/>
      <c r="H6" s="7"/>
      <c r="I6" s="7"/>
      <c r="J6" s="7"/>
      <c r="K6" s="113"/>
      <c r="L6" s="112"/>
      <c r="M6" s="7"/>
      <c r="N6" s="7"/>
      <c r="O6" s="7"/>
      <c r="P6" s="99" t="e">
        <f>ROUND(SUM(Calcs!$C150:$C152),-2)</f>
        <v>#DIV/0!</v>
      </c>
      <c r="Q6" s="7"/>
      <c r="R6" s="7"/>
      <c r="S6" s="7"/>
      <c r="T6" s="7"/>
      <c r="U6" s="7"/>
      <c r="V6" s="113"/>
    </row>
    <row r="7" spans="1:22" ht="12.75">
      <c r="A7" s="112"/>
      <c r="B7" s="7"/>
      <c r="C7" s="96"/>
      <c r="D7" s="97">
        <f>OutputSheet!C28</f>
        <v>0</v>
      </c>
      <c r="E7" s="97">
        <f>OutputSheet!C27</f>
        <v>0</v>
      </c>
      <c r="F7" s="97">
        <f>OutputSheet!C26</f>
        <v>0</v>
      </c>
      <c r="G7" s="7"/>
      <c r="H7" s="7"/>
      <c r="I7" s="98"/>
      <c r="J7" s="96"/>
      <c r="K7" s="113"/>
      <c r="L7" s="112"/>
      <c r="M7" s="7"/>
      <c r="N7" s="96"/>
      <c r="O7" s="97" t="e">
        <f>OutputSheet!E28</f>
        <v>#DIV/0!</v>
      </c>
      <c r="P7" s="97" t="e">
        <f>OutputSheet!E27</f>
        <v>#DIV/0!</v>
      </c>
      <c r="Q7" s="97" t="e">
        <f>OutputSheet!E26</f>
        <v>#DIV/0!</v>
      </c>
      <c r="R7" s="7"/>
      <c r="S7" s="7"/>
      <c r="T7" s="98"/>
      <c r="U7" s="96"/>
      <c r="V7" s="113"/>
    </row>
    <row r="8" spans="1:22" ht="12.75">
      <c r="A8" s="112"/>
      <c r="B8" s="7"/>
      <c r="C8" s="7"/>
      <c r="D8" s="99">
        <f>ROUND(Calcs!C70,0)</f>
        <v>0</v>
      </c>
      <c r="E8" s="99">
        <f>ROUND(Calcs!C72,0)</f>
        <v>0</v>
      </c>
      <c r="F8" s="99">
        <f>ROUND(Calcs!C71,0)</f>
        <v>0</v>
      </c>
      <c r="G8" s="7"/>
      <c r="H8" s="100">
        <f>ROUND(SUM(F8,I10),-2)</f>
        <v>0</v>
      </c>
      <c r="I8" s="230">
        <f>IF(Data!$B$1="yes",InputSheet!$C$7,InputSheet!$C$6)</f>
        <v>0</v>
      </c>
      <c r="J8" s="230"/>
      <c r="K8" s="231"/>
      <c r="L8" s="112"/>
      <c r="M8" s="7"/>
      <c r="N8" s="7"/>
      <c r="O8" s="99" t="e">
        <f>ROUND(Calcs!C150,0)</f>
        <v>#DIV/0!</v>
      </c>
      <c r="P8" s="99" t="e">
        <f>ROUND(Calcs!C152,0)</f>
        <v>#DIV/0!</v>
      </c>
      <c r="Q8" s="99" t="e">
        <f>ROUND(Calcs!C151,0)</f>
        <v>#DIV/0!</v>
      </c>
      <c r="R8" s="7"/>
      <c r="S8" s="100" t="e">
        <f>ROUND(SUM(Q8,T10),-2)</f>
        <v>#DIV/0!</v>
      </c>
      <c r="T8" s="230">
        <f>IF(Data!$B$1="yes",InputSheet!$C$7,InputSheet!$C$6)</f>
        <v>0</v>
      </c>
      <c r="U8" s="230"/>
      <c r="V8" s="231"/>
    </row>
    <row r="9" spans="1:22" ht="12.75">
      <c r="A9" s="112"/>
      <c r="B9" s="7"/>
      <c r="C9" s="96"/>
      <c r="D9" s="96"/>
      <c r="E9" s="98"/>
      <c r="F9" s="98"/>
      <c r="G9" s="7"/>
      <c r="H9" s="7"/>
      <c r="I9" s="230"/>
      <c r="J9" s="230"/>
      <c r="K9" s="231"/>
      <c r="L9" s="112"/>
      <c r="M9" s="7"/>
      <c r="N9" s="96"/>
      <c r="O9" s="96"/>
      <c r="P9" s="98"/>
      <c r="Q9" s="98"/>
      <c r="R9" s="7"/>
      <c r="S9" s="7"/>
      <c r="T9" s="230"/>
      <c r="U9" s="230"/>
      <c r="V9" s="231"/>
    </row>
    <row r="10" spans="1:22" ht="12.75">
      <c r="A10" s="112"/>
      <c r="B10" s="7"/>
      <c r="C10" s="96"/>
      <c r="D10" s="96"/>
      <c r="E10" s="98"/>
      <c r="F10" s="98"/>
      <c r="G10" s="98"/>
      <c r="H10" s="7"/>
      <c r="I10" s="99">
        <f>ROUND(Calcs!C66,0)</f>
        <v>0</v>
      </c>
      <c r="J10" s="97">
        <f>OutputSheet!C22</f>
        <v>0</v>
      </c>
      <c r="K10" s="113"/>
      <c r="L10" s="112"/>
      <c r="M10" s="7"/>
      <c r="N10" s="96"/>
      <c r="O10" s="96"/>
      <c r="P10" s="98"/>
      <c r="Q10" s="98"/>
      <c r="R10" s="98"/>
      <c r="S10" s="7"/>
      <c r="T10" s="99" t="e">
        <f>ROUND(Calcs!C146,0)</f>
        <v>#DIV/0!</v>
      </c>
      <c r="U10" s="97" t="e">
        <f>OutputSheet!E22</f>
        <v>#DIV/0!</v>
      </c>
      <c r="V10" s="113"/>
    </row>
    <row r="11" spans="1:22" ht="12.75">
      <c r="A11" s="112"/>
      <c r="B11" s="7"/>
      <c r="C11" s="247">
        <f>ROUND(D8+C13,-2)</f>
        <v>0</v>
      </c>
      <c r="D11" s="248"/>
      <c r="E11" s="7"/>
      <c r="F11" s="103">
        <f>ROUND(C14+I11,-2)</f>
        <v>0</v>
      </c>
      <c r="G11" s="7"/>
      <c r="H11" s="7"/>
      <c r="I11" s="99">
        <f>ROUND(Calcs!C65,0)</f>
        <v>0</v>
      </c>
      <c r="J11" s="97">
        <f>OutputSheet!C21</f>
        <v>0</v>
      </c>
      <c r="K11" s="124">
        <f>ROUND(SUM(Calcs!$C65:$C67),-2)</f>
        <v>0</v>
      </c>
      <c r="L11" s="112"/>
      <c r="M11" s="7"/>
      <c r="N11" s="247" t="e">
        <f>ROUND(O8+N13,-2)</f>
        <v>#DIV/0!</v>
      </c>
      <c r="O11" s="248"/>
      <c r="P11" s="7"/>
      <c r="Q11" s="103" t="e">
        <f>ROUND(N14+T11,-2)</f>
        <v>#DIV/0!</v>
      </c>
      <c r="R11" s="7"/>
      <c r="S11" s="7"/>
      <c r="T11" s="99" t="e">
        <f>ROUND(Calcs!C145,0)</f>
        <v>#DIV/0!</v>
      </c>
      <c r="U11" s="97" t="e">
        <f>OutputSheet!E21</f>
        <v>#DIV/0!</v>
      </c>
      <c r="V11" s="124" t="e">
        <f>ROUND(SUM(Calcs!$C145:$C147),-2)</f>
        <v>#DIV/0!</v>
      </c>
    </row>
    <row r="12" spans="1:22" ht="12.75">
      <c r="A12" s="116">
        <f>ROUND(A14+D8+F18+I11,-2)</f>
        <v>0</v>
      </c>
      <c r="B12" s="7"/>
      <c r="C12" s="98"/>
      <c r="D12" s="7"/>
      <c r="E12" s="7"/>
      <c r="F12" s="7"/>
      <c r="G12" s="7"/>
      <c r="H12" s="7"/>
      <c r="I12" s="99">
        <f>ROUND(Calcs!C67,0)</f>
        <v>0</v>
      </c>
      <c r="J12" s="97">
        <f>OutputSheet!C20</f>
        <v>0</v>
      </c>
      <c r="K12" s="117"/>
      <c r="L12" s="116" t="e">
        <f>ROUND(L14+O8+Q18+T11,-2)</f>
        <v>#DIV/0!</v>
      </c>
      <c r="M12" s="7"/>
      <c r="N12" s="98"/>
      <c r="O12" s="7"/>
      <c r="P12" s="7"/>
      <c r="Q12" s="7"/>
      <c r="R12" s="7"/>
      <c r="S12" s="7"/>
      <c r="T12" s="99" t="e">
        <f>ROUND(Calcs!C147,0)</f>
        <v>#DIV/0!</v>
      </c>
      <c r="U12" s="97" t="e">
        <f>OutputSheet!E20</f>
        <v>#DIV/0!</v>
      </c>
      <c r="V12" s="117"/>
    </row>
    <row r="13" spans="1:22" ht="12.75">
      <c r="A13" s="112"/>
      <c r="B13" s="97">
        <f>OutputSheet!C14</f>
        <v>0</v>
      </c>
      <c r="C13" s="99">
        <f>ROUND(Calcs!C61,0)</f>
        <v>0</v>
      </c>
      <c r="D13" s="96"/>
      <c r="E13" s="96"/>
      <c r="F13" s="7"/>
      <c r="G13" s="7"/>
      <c r="H13" s="96"/>
      <c r="I13" s="7"/>
      <c r="J13" s="7"/>
      <c r="K13" s="118">
        <f>ROUND(K11+F8+C14+H18,-2)</f>
        <v>0</v>
      </c>
      <c r="L13" s="112"/>
      <c r="M13" s="97" t="e">
        <f>OutputSheet!E14</f>
        <v>#DIV/0!</v>
      </c>
      <c r="N13" s="99" t="e">
        <f>ROUND(Calcs!C141,0)</f>
        <v>#DIV/0!</v>
      </c>
      <c r="O13" s="96"/>
      <c r="P13" s="96"/>
      <c r="Q13" s="7"/>
      <c r="R13" s="7"/>
      <c r="S13" s="96"/>
      <c r="T13" s="7"/>
      <c r="U13" s="7"/>
      <c r="V13" s="118" t="e">
        <f>ROUND(V11+Q8+N14+S18,-2)</f>
        <v>#DIV/0!</v>
      </c>
    </row>
    <row r="14" spans="1:22" ht="12.75">
      <c r="A14" s="125">
        <f>ROUND(SUM(Calcs!$C60:$C62),-2)</f>
        <v>0</v>
      </c>
      <c r="B14" s="97">
        <f>OutputSheet!C15</f>
        <v>0</v>
      </c>
      <c r="C14" s="99">
        <f>ROUND(Calcs!C60,0)</f>
        <v>0</v>
      </c>
      <c r="D14" s="7"/>
      <c r="E14" s="7"/>
      <c r="F14" s="247">
        <f>ROUND(E8+G18,-2)</f>
        <v>0</v>
      </c>
      <c r="G14" s="248"/>
      <c r="H14" s="7"/>
      <c r="I14" s="7"/>
      <c r="J14" s="7"/>
      <c r="K14" s="113"/>
      <c r="L14" s="125" t="e">
        <f>ROUND(SUM(Calcs!$C140:$C142),-2)</f>
        <v>#DIV/0!</v>
      </c>
      <c r="M14" s="97" t="e">
        <f>OutputSheet!E15</f>
        <v>#DIV/0!</v>
      </c>
      <c r="N14" s="99" t="e">
        <f>ROUND(Calcs!C140,0)</f>
        <v>#DIV/0!</v>
      </c>
      <c r="O14" s="7"/>
      <c r="P14" s="7"/>
      <c r="Q14" s="247" t="e">
        <f>ROUND(P8+R18,-2)</f>
        <v>#DIV/0!</v>
      </c>
      <c r="R14" s="248"/>
      <c r="S14" s="7"/>
      <c r="T14" s="7"/>
      <c r="U14" s="7"/>
      <c r="V14" s="113"/>
    </row>
    <row r="15" spans="1:22" ht="12.75">
      <c r="A15" s="112"/>
      <c r="B15" s="97">
        <f>OutputSheet!C16</f>
        <v>0</v>
      </c>
      <c r="C15" s="99">
        <f>ROUND(Calcs!C62,0)</f>
        <v>0</v>
      </c>
      <c r="D15" s="7"/>
      <c r="E15" s="7"/>
      <c r="F15" s="7"/>
      <c r="G15" s="7"/>
      <c r="H15" s="7"/>
      <c r="I15" s="103">
        <f>(ROUND(H18+I12,-2))</f>
        <v>0</v>
      </c>
      <c r="J15" s="7"/>
      <c r="K15" s="113"/>
      <c r="L15" s="112"/>
      <c r="M15" s="97" t="e">
        <f>OutputSheet!E16</f>
        <v>#DIV/0!</v>
      </c>
      <c r="N15" s="99" t="e">
        <f>ROUND(Calcs!C142,0)</f>
        <v>#DIV/0!</v>
      </c>
      <c r="O15" s="7"/>
      <c r="P15" s="7"/>
      <c r="Q15" s="7"/>
      <c r="R15" s="7"/>
      <c r="S15" s="7"/>
      <c r="T15" s="103" t="e">
        <f>(ROUND(S18+T12,-2))</f>
        <v>#DIV/0!</v>
      </c>
      <c r="U15" s="7"/>
      <c r="V15" s="113"/>
    </row>
    <row r="16" spans="1:22" ht="12.75">
      <c r="A16" s="112"/>
      <c r="B16" s="7"/>
      <c r="C16" s="7"/>
      <c r="D16" s="7"/>
      <c r="E16" s="7"/>
      <c r="F16" s="7"/>
      <c r="G16" s="96"/>
      <c r="H16" s="7"/>
      <c r="I16" s="7"/>
      <c r="J16" s="7"/>
      <c r="K16" s="113"/>
      <c r="L16" s="112"/>
      <c r="M16" s="7"/>
      <c r="N16" s="7"/>
      <c r="O16" s="7"/>
      <c r="P16" s="7"/>
      <c r="Q16" s="7"/>
      <c r="R16" s="96"/>
      <c r="S16" s="7"/>
      <c r="T16" s="7"/>
      <c r="U16" s="7"/>
      <c r="V16" s="113"/>
    </row>
    <row r="17" spans="1:22" ht="12.75">
      <c r="A17" s="245">
        <f>IF(Data!$B$1="yes",InputSheet!$C$7,InputSheet!$C$6)</f>
        <v>0</v>
      </c>
      <c r="B17" s="225"/>
      <c r="C17" s="225"/>
      <c r="D17" s="7"/>
      <c r="E17" s="100">
        <f>ROUND(F18+C15,-2)</f>
        <v>0</v>
      </c>
      <c r="F17" s="7"/>
      <c r="G17" s="7"/>
      <c r="H17" s="7"/>
      <c r="I17" s="7"/>
      <c r="J17" s="7"/>
      <c r="K17" s="119"/>
      <c r="L17" s="245">
        <f>IF(Data!$B$1="yes",InputSheet!$C$7,InputSheet!$C$6)</f>
        <v>0</v>
      </c>
      <c r="M17" s="225"/>
      <c r="N17" s="225"/>
      <c r="O17" s="7"/>
      <c r="P17" s="104" t="e">
        <f>ROUND(Q18+N15,-2)</f>
        <v>#DIV/0!</v>
      </c>
      <c r="Q17" s="7"/>
      <c r="R17" s="7"/>
      <c r="S17" s="7"/>
      <c r="T17" s="7"/>
      <c r="U17" s="7"/>
      <c r="V17" s="119"/>
    </row>
    <row r="18" spans="1:22" ht="12.75">
      <c r="A18" s="245"/>
      <c r="B18" s="225"/>
      <c r="C18" s="225"/>
      <c r="D18" s="96"/>
      <c r="E18" s="7"/>
      <c r="F18" s="99">
        <f>ROUND(Calcs!C75,0)</f>
        <v>0</v>
      </c>
      <c r="G18" s="99">
        <f>ROUND(Calcs!C77,0)</f>
        <v>0</v>
      </c>
      <c r="H18" s="99">
        <f>ROUND(Calcs!C76,0)</f>
        <v>0</v>
      </c>
      <c r="I18" s="7"/>
      <c r="J18" s="7"/>
      <c r="K18" s="113"/>
      <c r="L18" s="245"/>
      <c r="M18" s="225"/>
      <c r="N18" s="225"/>
      <c r="O18" s="96"/>
      <c r="P18" s="7"/>
      <c r="Q18" s="99" t="e">
        <f>ROUND(Calcs!C155,0)</f>
        <v>#DIV/0!</v>
      </c>
      <c r="R18" s="99" t="e">
        <f>ROUND(Calcs!C157,0)</f>
        <v>#DIV/0!</v>
      </c>
      <c r="S18" s="99" t="e">
        <f>ROUND(Calcs!C156,0)</f>
        <v>#DIV/0!</v>
      </c>
      <c r="T18" s="7"/>
      <c r="U18" s="7"/>
      <c r="V18" s="113"/>
    </row>
    <row r="19" spans="1:22" ht="12.75">
      <c r="A19" s="112"/>
      <c r="B19" s="7"/>
      <c r="C19" s="7"/>
      <c r="D19" s="7"/>
      <c r="E19" s="7"/>
      <c r="F19" s="97">
        <f>OutputSheet!C32</f>
        <v>0</v>
      </c>
      <c r="G19" s="97">
        <f>OutputSheet!C33</f>
        <v>0</v>
      </c>
      <c r="H19" s="97">
        <f>OutputSheet!C34</f>
        <v>0</v>
      </c>
      <c r="I19" s="7"/>
      <c r="J19" s="98"/>
      <c r="K19" s="119"/>
      <c r="L19" s="112"/>
      <c r="M19" s="7"/>
      <c r="N19" s="7"/>
      <c r="O19" s="7"/>
      <c r="P19" s="7"/>
      <c r="Q19" s="97" t="e">
        <f>OutputSheet!E32</f>
        <v>#DIV/0!</v>
      </c>
      <c r="R19" s="97" t="e">
        <f>OutputSheet!E33</f>
        <v>#DIV/0!</v>
      </c>
      <c r="S19" s="97" t="e">
        <f>OutputSheet!E34</f>
        <v>#DIV/0!</v>
      </c>
      <c r="T19" s="7"/>
      <c r="U19" s="98"/>
      <c r="V19" s="119"/>
    </row>
    <row r="20" spans="1:22" ht="12.75">
      <c r="A20" s="112"/>
      <c r="B20" s="7"/>
      <c r="C20" s="7"/>
      <c r="D20" s="7"/>
      <c r="E20" s="249"/>
      <c r="F20" s="249"/>
      <c r="G20" s="99">
        <f>ROUND(SUM(Calcs!$C75:$C77),-2)</f>
        <v>0</v>
      </c>
      <c r="H20" s="98"/>
      <c r="I20" s="7"/>
      <c r="J20" s="7"/>
      <c r="K20" s="113"/>
      <c r="L20" s="112"/>
      <c r="M20" s="7"/>
      <c r="N20" s="7"/>
      <c r="O20" s="7"/>
      <c r="P20" s="249"/>
      <c r="Q20" s="249"/>
      <c r="R20" s="99" t="e">
        <f>ROUND(SUM(Calcs!$C155:$C157),-2)</f>
        <v>#DIV/0!</v>
      </c>
      <c r="S20" s="98"/>
      <c r="T20" s="7"/>
      <c r="U20" s="7"/>
      <c r="V20" s="113"/>
    </row>
    <row r="21" spans="1:22" ht="12.75">
      <c r="A21" s="112"/>
      <c r="B21" s="7"/>
      <c r="C21" s="7"/>
      <c r="D21" s="7"/>
      <c r="E21" s="247">
        <f>ROUND(G20+C15+E8+I12,-2)</f>
        <v>0</v>
      </c>
      <c r="F21" s="249"/>
      <c r="G21" s="240">
        <f>IF(Data!$B$1="yes",InputSheet!$C$6,InputSheet!$C$7)</f>
        <v>0</v>
      </c>
      <c r="H21" s="240"/>
      <c r="I21" s="240"/>
      <c r="J21" s="240"/>
      <c r="K21" s="244"/>
      <c r="L21" s="112"/>
      <c r="M21" s="7"/>
      <c r="N21" s="7"/>
      <c r="O21" s="7"/>
      <c r="P21" s="247" t="e">
        <f>ROUND(R20+N15+P8+T12,-2)</f>
        <v>#DIV/0!</v>
      </c>
      <c r="Q21" s="249"/>
      <c r="R21" s="240">
        <f>IF(Data!$B$1="yes",InputSheet!$C$6,InputSheet!$C$7)</f>
        <v>0</v>
      </c>
      <c r="S21" s="240"/>
      <c r="T21" s="240"/>
      <c r="U21" s="240"/>
      <c r="V21" s="244"/>
    </row>
    <row r="22" spans="1:22" ht="13.5" thickBot="1">
      <c r="A22" s="120"/>
      <c r="B22" s="121"/>
      <c r="C22" s="121"/>
      <c r="D22" s="121"/>
      <c r="E22" s="121"/>
      <c r="F22" s="121"/>
      <c r="G22" s="122"/>
      <c r="H22" s="121"/>
      <c r="I22" s="121"/>
      <c r="J22" s="121"/>
      <c r="K22" s="123"/>
      <c r="L22" s="120"/>
      <c r="M22" s="121"/>
      <c r="N22" s="121"/>
      <c r="O22" s="121"/>
      <c r="P22" s="121"/>
      <c r="Q22" s="121"/>
      <c r="R22" s="122"/>
      <c r="S22" s="121"/>
      <c r="T22" s="121"/>
      <c r="U22" s="121"/>
      <c r="V22" s="123"/>
    </row>
    <row r="23" spans="1:22" ht="15.75">
      <c r="A23" s="108"/>
      <c r="B23" s="109"/>
      <c r="C23" s="110" t="str">
        <f>"2-WAY AADT TURNING MOVEMENTS IN YEAR "&amp;InputSheet!I27</f>
        <v>2-WAY AADT TURNING MOVEMENTS IN YEAR 0</v>
      </c>
      <c r="D23" s="109"/>
      <c r="E23" s="109"/>
      <c r="F23" s="109"/>
      <c r="G23" s="109"/>
      <c r="H23" s="109"/>
      <c r="I23" s="109"/>
      <c r="J23" s="109"/>
      <c r="K23" s="111"/>
      <c r="L23" s="108"/>
      <c r="M23" s="109"/>
      <c r="N23" s="110" t="str">
        <f>"2-WAY AADT TURNING MOVEMENTS IN YEAR "&amp;InputSheet!I28</f>
        <v>2-WAY AADT TURNING MOVEMENTS IN YEAR 0</v>
      </c>
      <c r="O23" s="109"/>
      <c r="P23" s="109"/>
      <c r="Q23" s="109"/>
      <c r="R23" s="109"/>
      <c r="S23" s="109"/>
      <c r="T23" s="109"/>
      <c r="U23" s="109"/>
      <c r="V23" s="111"/>
    </row>
    <row r="24" spans="1:22" ht="12.75">
      <c r="A24" s="112"/>
      <c r="B24" s="7"/>
      <c r="C24" s="7"/>
      <c r="D24" s="7"/>
      <c r="E24" s="7"/>
      <c r="F24" s="7"/>
      <c r="G24" s="7"/>
      <c r="H24" s="7"/>
      <c r="I24" s="7"/>
      <c r="J24" s="7"/>
      <c r="K24" s="113"/>
      <c r="L24" s="112"/>
      <c r="M24" s="7"/>
      <c r="N24" s="7"/>
      <c r="O24" s="7"/>
      <c r="P24" s="7"/>
      <c r="Q24" s="7"/>
      <c r="R24" s="7"/>
      <c r="S24" s="7"/>
      <c r="T24" s="7"/>
      <c r="U24" s="7"/>
      <c r="V24" s="113"/>
    </row>
    <row r="25" spans="1:22" ht="12.75">
      <c r="A25" s="246">
        <f>IF(Data!$B$1="yes",InputSheet!$C$6,InputSheet!$C$7)</f>
        <v>0</v>
      </c>
      <c r="B25" s="243"/>
      <c r="C25" s="243"/>
      <c r="D25" s="243"/>
      <c r="E25" s="243"/>
      <c r="F25" s="249" t="e">
        <f>ROUND(E26+C33+G38+I30,-2)</f>
        <v>#DIV/0!</v>
      </c>
      <c r="G25" s="249"/>
      <c r="H25" s="7"/>
      <c r="I25" s="7"/>
      <c r="J25" s="7"/>
      <c r="K25" s="113"/>
      <c r="L25" s="246">
        <f>IF(Data!$B$1="yes",InputSheet!$C$6,InputSheet!$C$7)</f>
        <v>0</v>
      </c>
      <c r="M25" s="243"/>
      <c r="N25" s="243"/>
      <c r="O25" s="243"/>
      <c r="P25" s="243"/>
      <c r="Q25" s="249" t="e">
        <f>ROUND(P26+N33+R38+T30,-2)</f>
        <v>#DIV/0!</v>
      </c>
      <c r="R25" s="249"/>
      <c r="S25" s="7"/>
      <c r="T25" s="7"/>
      <c r="U25" s="7"/>
      <c r="V25" s="113"/>
    </row>
    <row r="26" spans="1:22" ht="12.75">
      <c r="A26" s="112"/>
      <c r="B26" s="7"/>
      <c r="C26" s="7"/>
      <c r="D26" s="7"/>
      <c r="E26" s="99" t="e">
        <f>ROUND(SUM(Calcs!$C230:$C232),-2)</f>
        <v>#DIV/0!</v>
      </c>
      <c r="F26" s="7"/>
      <c r="G26" s="7"/>
      <c r="H26" s="7"/>
      <c r="I26" s="7"/>
      <c r="J26" s="7"/>
      <c r="K26" s="113"/>
      <c r="L26" s="112"/>
      <c r="M26" s="7"/>
      <c r="N26" s="7"/>
      <c r="O26" s="7"/>
      <c r="P26" s="99" t="e">
        <f>ROUND(SUM(Calcs!$C310:$C312),-2)</f>
        <v>#DIV/0!</v>
      </c>
      <c r="Q26" s="7"/>
      <c r="R26" s="7"/>
      <c r="S26" s="7"/>
      <c r="T26" s="7"/>
      <c r="U26" s="7"/>
      <c r="V26" s="113"/>
    </row>
    <row r="27" spans="1:22" ht="12.75">
      <c r="A27" s="112"/>
      <c r="B27" s="7"/>
      <c r="C27" s="96"/>
      <c r="D27" s="97" t="e">
        <f>OutputSheet!G28</f>
        <v>#DIV/0!</v>
      </c>
      <c r="E27" s="97" t="e">
        <f>OutputSheet!G27</f>
        <v>#DIV/0!</v>
      </c>
      <c r="F27" s="97" t="e">
        <f>OutputSheet!G26</f>
        <v>#DIV/0!</v>
      </c>
      <c r="G27" s="7"/>
      <c r="H27" s="7"/>
      <c r="I27" s="98"/>
      <c r="J27" s="96"/>
      <c r="K27" s="113"/>
      <c r="L27" s="112"/>
      <c r="M27" s="7"/>
      <c r="N27" s="96"/>
      <c r="O27" s="97" t="e">
        <f>OutputSheet!I28</f>
        <v>#DIV/0!</v>
      </c>
      <c r="P27" s="97" t="e">
        <f>OutputSheet!I27</f>
        <v>#DIV/0!</v>
      </c>
      <c r="Q27" s="97" t="e">
        <f>OutputSheet!I26</f>
        <v>#DIV/0!</v>
      </c>
      <c r="R27" s="7"/>
      <c r="S27" s="7"/>
      <c r="T27" s="98"/>
      <c r="U27" s="96"/>
      <c r="V27" s="113"/>
    </row>
    <row r="28" spans="1:22" ht="12.75">
      <c r="A28" s="112"/>
      <c r="B28" s="7"/>
      <c r="C28" s="7"/>
      <c r="D28" s="99" t="e">
        <f>ROUND(Calcs!C230,0)</f>
        <v>#DIV/0!</v>
      </c>
      <c r="E28" s="99" t="e">
        <f>ROUND(Calcs!C232,0)</f>
        <v>#DIV/0!</v>
      </c>
      <c r="F28" s="99" t="e">
        <f>ROUND(Calcs!C231,0)</f>
        <v>#DIV/0!</v>
      </c>
      <c r="G28" s="7"/>
      <c r="H28" s="100" t="e">
        <f>ROUND(SUM(F28,I30),-2)</f>
        <v>#DIV/0!</v>
      </c>
      <c r="I28" s="230">
        <f>IF(Data!$B$1="yes",InputSheet!$C$7,InputSheet!$C$6)</f>
        <v>0</v>
      </c>
      <c r="J28" s="230"/>
      <c r="K28" s="231"/>
      <c r="L28" s="112"/>
      <c r="M28" s="7"/>
      <c r="N28" s="7"/>
      <c r="O28" s="99" t="e">
        <f>ROUND(Calcs!C310,0)</f>
        <v>#DIV/0!</v>
      </c>
      <c r="P28" s="99" t="e">
        <f>ROUND(Calcs!C312,0)</f>
        <v>#DIV/0!</v>
      </c>
      <c r="Q28" s="99" t="e">
        <f>ROUND(Calcs!C311,0)</f>
        <v>#DIV/0!</v>
      </c>
      <c r="R28" s="7"/>
      <c r="S28" s="100" t="e">
        <f>ROUND(SUM(Q28,T30),-2)</f>
        <v>#DIV/0!</v>
      </c>
      <c r="T28" s="230">
        <f>IF(Data!$B$1="yes",InputSheet!$C$7,InputSheet!$C$6)</f>
        <v>0</v>
      </c>
      <c r="U28" s="230"/>
      <c r="V28" s="231"/>
    </row>
    <row r="29" spans="1:22" ht="12.75">
      <c r="A29" s="112"/>
      <c r="B29" s="7"/>
      <c r="C29" s="96"/>
      <c r="D29" s="96"/>
      <c r="E29" s="98"/>
      <c r="F29" s="98"/>
      <c r="G29" s="7"/>
      <c r="H29" s="7"/>
      <c r="I29" s="230"/>
      <c r="J29" s="230"/>
      <c r="K29" s="231"/>
      <c r="L29" s="112"/>
      <c r="M29" s="7"/>
      <c r="N29" s="96"/>
      <c r="O29" s="96"/>
      <c r="P29" s="98"/>
      <c r="Q29" s="98"/>
      <c r="R29" s="7"/>
      <c r="S29" s="7"/>
      <c r="T29" s="230"/>
      <c r="U29" s="230"/>
      <c r="V29" s="231"/>
    </row>
    <row r="30" spans="1:22" ht="12.75">
      <c r="A30" s="112"/>
      <c r="B30" s="7"/>
      <c r="C30" s="96"/>
      <c r="D30" s="96"/>
      <c r="E30" s="98"/>
      <c r="F30" s="98"/>
      <c r="G30" s="98"/>
      <c r="H30" s="7"/>
      <c r="I30" s="99" t="e">
        <f>ROUND(Calcs!C226,0)</f>
        <v>#DIV/0!</v>
      </c>
      <c r="J30" s="97" t="e">
        <f>OutputSheet!G22</f>
        <v>#DIV/0!</v>
      </c>
      <c r="K30" s="113"/>
      <c r="L30" s="112"/>
      <c r="M30" s="7"/>
      <c r="N30" s="96"/>
      <c r="O30" s="96"/>
      <c r="P30" s="98"/>
      <c r="Q30" s="98"/>
      <c r="R30" s="98"/>
      <c r="S30" s="7"/>
      <c r="T30" s="106" t="e">
        <f>ROUND(Calcs!C306,0)</f>
        <v>#DIV/0!</v>
      </c>
      <c r="U30" s="97" t="e">
        <f>OutputSheet!I22</f>
        <v>#DIV/0!</v>
      </c>
      <c r="V30" s="113"/>
    </row>
    <row r="31" spans="1:22" ht="12.75">
      <c r="A31" s="112"/>
      <c r="B31" s="7"/>
      <c r="C31" s="247" t="e">
        <f>ROUND(D28+C33,-2)</f>
        <v>#DIV/0!</v>
      </c>
      <c r="D31" s="248"/>
      <c r="E31" s="7"/>
      <c r="F31" s="103" t="e">
        <f>ROUND(C34+I31,-2)</f>
        <v>#DIV/0!</v>
      </c>
      <c r="G31" s="7"/>
      <c r="H31" s="7"/>
      <c r="I31" s="99" t="e">
        <f>ROUND(Calcs!C225,0)</f>
        <v>#DIV/0!</v>
      </c>
      <c r="J31" s="97" t="e">
        <f>OutputSheet!G21</f>
        <v>#DIV/0!</v>
      </c>
      <c r="K31" s="124" t="e">
        <f>ROUND(SUM(Calcs!$C225:$C227),-2)</f>
        <v>#DIV/0!</v>
      </c>
      <c r="L31" s="112"/>
      <c r="M31" s="7"/>
      <c r="N31" s="247" t="e">
        <f>ROUND(O28+N33,-2)</f>
        <v>#DIV/0!</v>
      </c>
      <c r="O31" s="248"/>
      <c r="P31" s="7"/>
      <c r="Q31" s="103" t="e">
        <f>ROUND(N34+T31,-2)</f>
        <v>#DIV/0!</v>
      </c>
      <c r="R31" s="7"/>
      <c r="S31" s="7"/>
      <c r="T31" s="99" t="e">
        <f>ROUND(Calcs!C305,0)</f>
        <v>#DIV/0!</v>
      </c>
      <c r="U31" s="97" t="e">
        <f>OutputSheet!I21</f>
        <v>#DIV/0!</v>
      </c>
      <c r="V31" s="124" t="e">
        <f>ROUND(SUM(Calcs!$C305:$C307),-2)</f>
        <v>#DIV/0!</v>
      </c>
    </row>
    <row r="32" spans="1:22" ht="12.75">
      <c r="A32" s="116" t="e">
        <f>ROUND(A34+D28+F38+I31,-2)</f>
        <v>#DIV/0!</v>
      </c>
      <c r="B32" s="7"/>
      <c r="C32" s="98"/>
      <c r="D32" s="7"/>
      <c r="E32" s="7"/>
      <c r="F32" s="7"/>
      <c r="G32" s="7"/>
      <c r="H32" s="7"/>
      <c r="I32" s="99" t="e">
        <f>ROUND(Calcs!C227,0)</f>
        <v>#DIV/0!</v>
      </c>
      <c r="J32" s="97" t="e">
        <f>OutputSheet!G20</f>
        <v>#DIV/0!</v>
      </c>
      <c r="K32" s="117"/>
      <c r="L32" s="116" t="e">
        <f>ROUND(L34+O28+Q38+T31,-2)</f>
        <v>#DIV/0!</v>
      </c>
      <c r="M32" s="7"/>
      <c r="N32" s="98"/>
      <c r="O32" s="7"/>
      <c r="P32" s="7"/>
      <c r="Q32" s="7"/>
      <c r="R32" s="7"/>
      <c r="S32" s="7"/>
      <c r="T32" s="99" t="e">
        <f>ROUND(Calcs!C307,0)</f>
        <v>#DIV/0!</v>
      </c>
      <c r="U32" s="97" t="e">
        <f>OutputSheet!I20</f>
        <v>#DIV/0!</v>
      </c>
      <c r="V32" s="117"/>
    </row>
    <row r="33" spans="1:22" ht="12.75">
      <c r="A33" s="112"/>
      <c r="B33" s="97" t="e">
        <f>OutputSheet!G14</f>
        <v>#DIV/0!</v>
      </c>
      <c r="C33" s="99" t="e">
        <f>ROUND(Calcs!C221,0)</f>
        <v>#DIV/0!</v>
      </c>
      <c r="D33" s="96"/>
      <c r="E33" s="96"/>
      <c r="F33" s="7"/>
      <c r="G33" s="7"/>
      <c r="H33" s="96"/>
      <c r="I33" s="7"/>
      <c r="J33" s="7"/>
      <c r="K33" s="118" t="e">
        <f>ROUND(K31+F28+C34+H38,-2)</f>
        <v>#DIV/0!</v>
      </c>
      <c r="L33" s="112"/>
      <c r="M33" s="97" t="e">
        <f>OutputSheet!I14</f>
        <v>#DIV/0!</v>
      </c>
      <c r="N33" s="99" t="e">
        <f>ROUND(Calcs!C301,0)</f>
        <v>#DIV/0!</v>
      </c>
      <c r="O33" s="96"/>
      <c r="P33" s="96"/>
      <c r="Q33" s="7"/>
      <c r="R33" s="7"/>
      <c r="S33" s="96"/>
      <c r="T33" s="7"/>
      <c r="U33" s="7"/>
      <c r="V33" s="118" t="e">
        <f>ROUND(V31+Q28+N34+S38,-2)</f>
        <v>#DIV/0!</v>
      </c>
    </row>
    <row r="34" spans="1:22" ht="12.75">
      <c r="A34" s="125" t="e">
        <f>ROUND(SUM(Calcs!$C220:$C222),-2)</f>
        <v>#DIV/0!</v>
      </c>
      <c r="B34" s="97" t="e">
        <f>OutputSheet!G15</f>
        <v>#DIV/0!</v>
      </c>
      <c r="C34" s="99" t="e">
        <f>ROUND(Calcs!C220,0)</f>
        <v>#DIV/0!</v>
      </c>
      <c r="D34" s="7"/>
      <c r="E34" s="7"/>
      <c r="F34" s="247" t="e">
        <f>ROUND(E28+G38,-2)</f>
        <v>#DIV/0!</v>
      </c>
      <c r="G34" s="248"/>
      <c r="H34" s="7"/>
      <c r="I34" s="7"/>
      <c r="J34" s="7"/>
      <c r="K34" s="113"/>
      <c r="L34" s="125" t="e">
        <f>ROUND(SUM(Calcs!$C300:$C302),-2)</f>
        <v>#DIV/0!</v>
      </c>
      <c r="M34" s="97" t="e">
        <f>OutputSheet!I15</f>
        <v>#DIV/0!</v>
      </c>
      <c r="N34" s="99" t="e">
        <f>ROUND(Calcs!C300,0)</f>
        <v>#DIV/0!</v>
      </c>
      <c r="O34" s="7"/>
      <c r="P34" s="7"/>
      <c r="Q34" s="247" t="e">
        <f>ROUND(P28+R38,-2)</f>
        <v>#DIV/0!</v>
      </c>
      <c r="R34" s="248"/>
      <c r="S34" s="7"/>
      <c r="T34" s="7"/>
      <c r="U34" s="7"/>
      <c r="V34" s="113"/>
    </row>
    <row r="35" spans="1:22" ht="12.75">
      <c r="A35" s="112"/>
      <c r="B35" s="97" t="e">
        <f>OutputSheet!G16</f>
        <v>#DIV/0!</v>
      </c>
      <c r="C35" s="99" t="e">
        <f>ROUND(Calcs!C222,0)</f>
        <v>#DIV/0!</v>
      </c>
      <c r="D35" s="7"/>
      <c r="E35" s="7"/>
      <c r="F35" s="7"/>
      <c r="G35" s="7"/>
      <c r="H35" s="7"/>
      <c r="I35" s="103" t="e">
        <f>(ROUND(H38+I32,-2))</f>
        <v>#DIV/0!</v>
      </c>
      <c r="J35" s="7"/>
      <c r="K35" s="113"/>
      <c r="L35" s="112"/>
      <c r="M35" s="97" t="e">
        <f>OutputSheet!I16</f>
        <v>#DIV/0!</v>
      </c>
      <c r="N35" s="99" t="e">
        <f>ROUND(Calcs!C302,0)</f>
        <v>#DIV/0!</v>
      </c>
      <c r="O35" s="7"/>
      <c r="P35" s="7"/>
      <c r="Q35" s="7"/>
      <c r="R35" s="7"/>
      <c r="S35" s="7"/>
      <c r="T35" s="103" t="e">
        <f>(ROUND(S38+T32,-2))</f>
        <v>#DIV/0!</v>
      </c>
      <c r="U35" s="7"/>
      <c r="V35" s="113"/>
    </row>
    <row r="36" spans="1:22" ht="12.75">
      <c r="A36" s="112"/>
      <c r="B36" s="7"/>
      <c r="C36" s="7"/>
      <c r="D36" s="7"/>
      <c r="E36" s="7"/>
      <c r="F36" s="7"/>
      <c r="G36" s="96"/>
      <c r="H36" s="7"/>
      <c r="I36" s="7"/>
      <c r="J36" s="7"/>
      <c r="K36" s="113"/>
      <c r="L36" s="112"/>
      <c r="M36" s="7"/>
      <c r="N36" s="7"/>
      <c r="O36" s="7"/>
      <c r="P36" s="7"/>
      <c r="Q36" s="7"/>
      <c r="R36" s="96"/>
      <c r="S36" s="7"/>
      <c r="T36" s="7"/>
      <c r="U36" s="7"/>
      <c r="V36" s="113"/>
    </row>
    <row r="37" spans="1:22" ht="12.75">
      <c r="A37" s="245">
        <f>IF(Data!$B$1="yes",InputSheet!$C$7,InputSheet!$C$6)</f>
        <v>0</v>
      </c>
      <c r="B37" s="225"/>
      <c r="C37" s="225"/>
      <c r="D37" s="7"/>
      <c r="E37" s="104" t="e">
        <f>ROUND(F38+C35,-2)</f>
        <v>#DIV/0!</v>
      </c>
      <c r="F37" s="7"/>
      <c r="G37" s="7"/>
      <c r="H37" s="7"/>
      <c r="I37" s="7"/>
      <c r="J37" s="7"/>
      <c r="K37" s="119"/>
      <c r="L37" s="245">
        <f>IF(Data!$B$1="yes",InputSheet!$C$7,InputSheet!$C$6)</f>
        <v>0</v>
      </c>
      <c r="M37" s="225"/>
      <c r="N37" s="225"/>
      <c r="O37" s="7"/>
      <c r="P37" s="104" t="e">
        <f>ROUND(Q38+N35,-2)</f>
        <v>#DIV/0!</v>
      </c>
      <c r="Q37" s="7"/>
      <c r="R37" s="7"/>
      <c r="S37" s="7"/>
      <c r="T37" s="7"/>
      <c r="U37" s="7"/>
      <c r="V37" s="119"/>
    </row>
    <row r="38" spans="1:22" ht="12.75">
      <c r="A38" s="245"/>
      <c r="B38" s="225"/>
      <c r="C38" s="225"/>
      <c r="D38" s="96"/>
      <c r="E38" s="7"/>
      <c r="F38" s="99" t="e">
        <f>ROUND(Calcs!C235,0)</f>
        <v>#DIV/0!</v>
      </c>
      <c r="G38" s="99" t="e">
        <f>ROUND(Calcs!C237,0)</f>
        <v>#DIV/0!</v>
      </c>
      <c r="H38" s="99" t="e">
        <f>ROUND(Calcs!C236,0)</f>
        <v>#DIV/0!</v>
      </c>
      <c r="I38" s="7"/>
      <c r="J38" s="7"/>
      <c r="K38" s="113"/>
      <c r="L38" s="245"/>
      <c r="M38" s="225"/>
      <c r="N38" s="225"/>
      <c r="O38" s="96"/>
      <c r="P38" s="7"/>
      <c r="Q38" s="99" t="e">
        <f>ROUND(Calcs!C315,0)</f>
        <v>#DIV/0!</v>
      </c>
      <c r="R38" s="99" t="e">
        <f>ROUND(Calcs!C317,0)</f>
        <v>#DIV/0!</v>
      </c>
      <c r="S38" s="99" t="e">
        <f>ROUND(Calcs!C316,0)</f>
        <v>#DIV/0!</v>
      </c>
      <c r="T38" s="7"/>
      <c r="U38" s="7"/>
      <c r="V38" s="113"/>
    </row>
    <row r="39" spans="1:22" ht="12.75">
      <c r="A39" s="112"/>
      <c r="B39" s="7"/>
      <c r="C39" s="7"/>
      <c r="D39" s="7"/>
      <c r="E39" s="7"/>
      <c r="F39" s="97" t="e">
        <f>OutputSheet!G32</f>
        <v>#DIV/0!</v>
      </c>
      <c r="G39" s="97" t="e">
        <f>OutputSheet!G33</f>
        <v>#DIV/0!</v>
      </c>
      <c r="H39" s="97" t="e">
        <f>OutputSheet!G34</f>
        <v>#DIV/0!</v>
      </c>
      <c r="I39" s="7"/>
      <c r="J39" s="98"/>
      <c r="K39" s="119"/>
      <c r="L39" s="112"/>
      <c r="M39" s="7"/>
      <c r="N39" s="7"/>
      <c r="O39" s="7"/>
      <c r="P39" s="7"/>
      <c r="Q39" s="97" t="e">
        <f>OutputSheet!I32</f>
        <v>#DIV/0!</v>
      </c>
      <c r="R39" s="97" t="e">
        <f>OutputSheet!I33</f>
        <v>#DIV/0!</v>
      </c>
      <c r="S39" s="97" t="e">
        <f>OutputSheet!I34</f>
        <v>#DIV/0!</v>
      </c>
      <c r="T39" s="7"/>
      <c r="U39" s="98"/>
      <c r="V39" s="119"/>
    </row>
    <row r="40" spans="1:22" ht="12.75">
      <c r="A40" s="112"/>
      <c r="B40" s="7"/>
      <c r="C40" s="7"/>
      <c r="D40" s="7"/>
      <c r="E40" s="249"/>
      <c r="F40" s="249"/>
      <c r="G40" s="99" t="e">
        <f>ROUND(SUM(Calcs!$C235:$C237),-2)</f>
        <v>#DIV/0!</v>
      </c>
      <c r="H40" s="98"/>
      <c r="I40" s="7"/>
      <c r="J40" s="7"/>
      <c r="K40" s="113"/>
      <c r="L40" s="112"/>
      <c r="M40" s="7"/>
      <c r="N40" s="7"/>
      <c r="O40" s="7"/>
      <c r="P40" s="249"/>
      <c r="Q40" s="249"/>
      <c r="R40" s="99" t="e">
        <f>ROUND(SUM(Calcs!$C315:$C317),-2)</f>
        <v>#DIV/0!</v>
      </c>
      <c r="S40" s="98"/>
      <c r="T40" s="7"/>
      <c r="U40" s="7"/>
      <c r="V40" s="113"/>
    </row>
    <row r="41" spans="1:22" ht="12.75">
      <c r="A41" s="112"/>
      <c r="B41" s="7"/>
      <c r="C41" s="7"/>
      <c r="D41" s="7"/>
      <c r="E41" s="247" t="e">
        <f>ROUND(G40+C35+E28+I32,-2)</f>
        <v>#DIV/0!</v>
      </c>
      <c r="F41" s="249"/>
      <c r="G41" s="240">
        <f>IF(Data!$B$1="yes",InputSheet!$C$6,InputSheet!$C$7)</f>
        <v>0</v>
      </c>
      <c r="H41" s="240"/>
      <c r="I41" s="240"/>
      <c r="J41" s="240"/>
      <c r="K41" s="244"/>
      <c r="L41" s="112"/>
      <c r="M41" s="7"/>
      <c r="N41" s="7"/>
      <c r="O41" s="7"/>
      <c r="P41" s="247" t="e">
        <f>ROUND(R40+N35+P28+T32,-2)</f>
        <v>#DIV/0!</v>
      </c>
      <c r="Q41" s="249"/>
      <c r="R41" s="240">
        <f>IF(Data!$B$1="yes",InputSheet!$C$6,InputSheet!$C$7)</f>
        <v>0</v>
      </c>
      <c r="S41" s="240"/>
      <c r="T41" s="240"/>
      <c r="U41" s="240"/>
      <c r="V41" s="244"/>
    </row>
    <row r="42" spans="1:22" ht="13.5" thickBot="1">
      <c r="A42" s="120"/>
      <c r="B42" s="121"/>
      <c r="C42" s="121"/>
      <c r="D42" s="121"/>
      <c r="E42" s="121"/>
      <c r="F42" s="121"/>
      <c r="G42" s="122"/>
      <c r="H42" s="121"/>
      <c r="I42" s="121"/>
      <c r="J42" s="121"/>
      <c r="K42" s="123"/>
      <c r="L42" s="120"/>
      <c r="M42" s="121"/>
      <c r="N42" s="121"/>
      <c r="O42" s="121"/>
      <c r="P42" s="121"/>
      <c r="Q42" s="121"/>
      <c r="R42" s="122"/>
      <c r="S42" s="121"/>
      <c r="T42" s="121"/>
      <c r="U42" s="121"/>
      <c r="V42" s="123"/>
    </row>
    <row r="44" spans="1:22" ht="20.25">
      <c r="A44" s="258" t="str">
        <f>"PROJECT TRAFFIC FOR "&amp;InputSheet!$C$6&amp;" AT "&amp;InputSheet!$C$7&amp;":  "&amp;InputSheet!$C$8&amp;" TO "&amp;InputSheet!$C$9</f>
        <v>PROJECT TRAFFIC FOR  AT :   TO 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</row>
    <row r="45" ht="13.5" thickBot="1"/>
    <row r="46" spans="1:22" ht="15.75">
      <c r="A46" s="255" t="str">
        <f>"1-WAY DESIGN HOUR TURNING MOVEMENTS IN YEAR "&amp;InputSheet!$I$25</f>
        <v>1-WAY DESIGN HOUR TURNING MOVEMENTS IN YEAR 0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7"/>
      <c r="L46" s="255" t="str">
        <f>"1-WAY DESIGN HOUR TURNING MOVEMENTS IN YEAR "&amp;InputSheet!$I$26</f>
        <v>1-WAY DESIGN HOUR TURNING MOVEMENTS IN YEAR 0</v>
      </c>
      <c r="M46" s="256"/>
      <c r="N46" s="256"/>
      <c r="O46" s="256"/>
      <c r="P46" s="256"/>
      <c r="Q46" s="256"/>
      <c r="R46" s="256"/>
      <c r="S46" s="256"/>
      <c r="T46" s="256"/>
      <c r="U46" s="256"/>
      <c r="V46" s="257"/>
    </row>
    <row r="47" spans="1:22" ht="12.75">
      <c r="A47" s="112"/>
      <c r="B47" s="7"/>
      <c r="C47" s="7"/>
      <c r="D47" s="7"/>
      <c r="E47" s="7"/>
      <c r="F47" s="7"/>
      <c r="G47" s="7"/>
      <c r="H47" s="7"/>
      <c r="I47" s="7"/>
      <c r="J47" s="7"/>
      <c r="K47" s="113"/>
      <c r="L47" s="112"/>
      <c r="M47" s="7"/>
      <c r="N47" s="7"/>
      <c r="O47" s="7"/>
      <c r="P47" s="7"/>
      <c r="Q47" s="7"/>
      <c r="R47" s="7"/>
      <c r="S47" s="7"/>
      <c r="T47" s="7"/>
      <c r="U47" s="7"/>
      <c r="V47" s="113"/>
    </row>
    <row r="48" spans="1:22" ht="12.75">
      <c r="A48" s="224">
        <f>A5</f>
        <v>0</v>
      </c>
      <c r="B48" s="222"/>
      <c r="C48" s="222"/>
      <c r="D48" s="222"/>
      <c r="E48" s="222"/>
      <c r="F48" s="249"/>
      <c r="G48" s="249"/>
      <c r="H48" s="7"/>
      <c r="I48" s="7"/>
      <c r="J48" s="7"/>
      <c r="K48" s="113"/>
      <c r="L48" s="224">
        <f>L5</f>
        <v>0</v>
      </c>
      <c r="M48" s="222"/>
      <c r="N48" s="222"/>
      <c r="O48" s="222"/>
      <c r="P48" s="222"/>
      <c r="Q48" s="249"/>
      <c r="R48" s="249"/>
      <c r="S48" s="7"/>
      <c r="T48" s="7"/>
      <c r="U48" s="7"/>
      <c r="V48" s="113"/>
    </row>
    <row r="49" spans="1:22" ht="12.75">
      <c r="A49" s="112"/>
      <c r="B49" s="7"/>
      <c r="C49" s="7"/>
      <c r="D49" s="7"/>
      <c r="E49" s="99">
        <f>SUM(D51:F51)</f>
        <v>0</v>
      </c>
      <c r="F49" s="7"/>
      <c r="G49" s="7"/>
      <c r="H49" s="7"/>
      <c r="I49" s="7"/>
      <c r="J49" s="7"/>
      <c r="K49" s="113"/>
      <c r="L49" s="112"/>
      <c r="M49" s="7"/>
      <c r="N49" s="7"/>
      <c r="O49" s="7"/>
      <c r="P49" s="99" t="e">
        <f>SUM(O51:Q51)</f>
        <v>#DIV/0!</v>
      </c>
      <c r="Q49" s="7"/>
      <c r="R49" s="7"/>
      <c r="S49" s="7"/>
      <c r="T49" s="7"/>
      <c r="U49" s="7"/>
      <c r="V49" s="113"/>
    </row>
    <row r="50" spans="1:22" ht="12.75">
      <c r="A50" s="112"/>
      <c r="B50" s="7"/>
      <c r="C50" s="96"/>
      <c r="D50" s="97"/>
      <c r="E50" s="97"/>
      <c r="F50" s="97"/>
      <c r="G50" s="7"/>
      <c r="H50" s="7"/>
      <c r="I50" s="98"/>
      <c r="J50" s="96"/>
      <c r="K50" s="113"/>
      <c r="L50" s="112"/>
      <c r="M50" s="7"/>
      <c r="N50" s="96"/>
      <c r="O50" s="97"/>
      <c r="P50" s="97"/>
      <c r="Q50" s="97"/>
      <c r="R50" s="7"/>
      <c r="S50" s="7"/>
      <c r="T50" s="98"/>
      <c r="U50" s="96"/>
      <c r="V50" s="113"/>
    </row>
    <row r="51" spans="1:22" ht="12.75">
      <c r="A51" s="112"/>
      <c r="B51" s="7"/>
      <c r="C51" s="7"/>
      <c r="D51" s="99">
        <f>ROUND(C11*IF(Data!$B$1="yes",$B$64*InputSheet!$F$17,$B$65*InputSheet!$F$20),0)</f>
        <v>0</v>
      </c>
      <c r="E51" s="99">
        <f>ROUND(F14*IF(Data!$B$1="yes",$B$64*InputSheet!$F$17,$B$65*InputSheet!$F$20),0)</f>
        <v>0</v>
      </c>
      <c r="F51" s="99">
        <f>ROUND(H8*IF(Data!$B$1="yes",$B$64*InputSheet!$F$17,$B$65*InputSheet!$F$20),0)</f>
        <v>0</v>
      </c>
      <c r="G51" s="7"/>
      <c r="H51" s="100"/>
      <c r="I51" s="230">
        <f>I8</f>
        <v>0</v>
      </c>
      <c r="J51" s="230"/>
      <c r="K51" s="231"/>
      <c r="L51" s="112"/>
      <c r="M51" s="7"/>
      <c r="N51" s="7"/>
      <c r="O51" s="99" t="e">
        <f>ROUND(N11*IF(Data!$B$1="yes",$B$64*InputSheet!$F$17,$B$65*InputSheet!$F$20),0)</f>
        <v>#DIV/0!</v>
      </c>
      <c r="P51" s="99" t="e">
        <f>ROUND(Q14*IF(Data!$B$1="yes",$B$64*InputSheet!$F$17,$B$65*InputSheet!$F$20),0)</f>
        <v>#DIV/0!</v>
      </c>
      <c r="Q51" s="99" t="e">
        <f>ROUND(S8*IF(Data!$B$1="yes",$B$64*InputSheet!$F$17,$B$65*InputSheet!$F$20),0)</f>
        <v>#DIV/0!</v>
      </c>
      <c r="R51" s="7"/>
      <c r="S51" s="100"/>
      <c r="T51" s="230">
        <f>T8</f>
        <v>0</v>
      </c>
      <c r="U51" s="230"/>
      <c r="V51" s="231"/>
    </row>
    <row r="52" spans="1:22" ht="12.75">
      <c r="A52" s="112"/>
      <c r="B52" s="7"/>
      <c r="C52" s="96"/>
      <c r="D52" s="96"/>
      <c r="E52" s="98"/>
      <c r="F52" s="98"/>
      <c r="G52" s="7"/>
      <c r="H52" s="7"/>
      <c r="I52" s="230"/>
      <c r="J52" s="230"/>
      <c r="K52" s="231"/>
      <c r="L52" s="112"/>
      <c r="M52" s="7"/>
      <c r="N52" s="96"/>
      <c r="O52" s="96"/>
      <c r="P52" s="98"/>
      <c r="Q52" s="98"/>
      <c r="R52" s="7"/>
      <c r="S52" s="7"/>
      <c r="T52" s="230"/>
      <c r="U52" s="230"/>
      <c r="V52" s="231"/>
    </row>
    <row r="53" spans="1:22" ht="12.75">
      <c r="A53" s="112"/>
      <c r="B53" s="7"/>
      <c r="C53" s="96"/>
      <c r="D53" s="96"/>
      <c r="E53" s="98"/>
      <c r="F53" s="98"/>
      <c r="G53" s="98"/>
      <c r="H53" s="7"/>
      <c r="I53" s="99">
        <f>ROUND(H8*IF(Data!$B$1="yes",$B$65*InputSheet!$F$19,$B$64*InputSheet!$F$16),0)</f>
        <v>0</v>
      </c>
      <c r="J53" s="97"/>
      <c r="K53" s="113"/>
      <c r="L53" s="112"/>
      <c r="M53" s="7"/>
      <c r="N53" s="96"/>
      <c r="O53" s="96"/>
      <c r="P53" s="98"/>
      <c r="Q53" s="98"/>
      <c r="R53" s="98"/>
      <c r="S53" s="7"/>
      <c r="T53" s="99" t="e">
        <f>ROUND(S8*IF(Data!$B$1="yes",$B$65*InputSheet!$F$19,$B$64*InputSheet!$F$16),0)</f>
        <v>#DIV/0!</v>
      </c>
      <c r="U53" s="97"/>
      <c r="V53" s="113"/>
    </row>
    <row r="54" spans="1:22" ht="12.75">
      <c r="A54" s="112"/>
      <c r="B54" s="7"/>
      <c r="C54" s="247"/>
      <c r="D54" s="248"/>
      <c r="E54" s="7"/>
      <c r="F54" s="103"/>
      <c r="G54" s="7"/>
      <c r="H54" s="7"/>
      <c r="I54" s="99">
        <f>ROUND(F11*IF(Data!$B$1="yes",$B$65*InputSheet!$F$19,$B$64*InputSheet!$F$16),0)</f>
        <v>0</v>
      </c>
      <c r="J54" s="97"/>
      <c r="K54" s="124">
        <f>SUM(I53:I55)</f>
        <v>0</v>
      </c>
      <c r="L54" s="112"/>
      <c r="M54" s="7"/>
      <c r="N54" s="247"/>
      <c r="O54" s="248"/>
      <c r="P54" s="7"/>
      <c r="Q54" s="103"/>
      <c r="R54" s="7"/>
      <c r="S54" s="7"/>
      <c r="T54" s="99" t="e">
        <f>ROUND(Q11*IF(Data!$B$1="yes",$B$65*InputSheet!$F$19,$B$64*InputSheet!$F$16),0)</f>
        <v>#DIV/0!</v>
      </c>
      <c r="U54" s="97"/>
      <c r="V54" s="124" t="e">
        <f>SUM(T53:T55)</f>
        <v>#DIV/0!</v>
      </c>
    </row>
    <row r="55" spans="1:22" ht="12.75">
      <c r="A55" s="116"/>
      <c r="B55" s="7"/>
      <c r="C55" s="98"/>
      <c r="D55" s="7"/>
      <c r="E55" s="7"/>
      <c r="F55" s="7"/>
      <c r="G55" s="7"/>
      <c r="H55" s="7"/>
      <c r="I55" s="99">
        <f>ROUND(I15*IF(Data!$B$1="yes",$B$65*InputSheet!$F$19,$B$64*InputSheet!$F$16),0)</f>
        <v>0</v>
      </c>
      <c r="J55" s="97"/>
      <c r="K55" s="117"/>
      <c r="L55" s="116"/>
      <c r="M55" s="7"/>
      <c r="N55" s="98"/>
      <c r="O55" s="7"/>
      <c r="P55" s="7"/>
      <c r="Q55" s="7"/>
      <c r="R55" s="7"/>
      <c r="S55" s="7"/>
      <c r="T55" s="99" t="e">
        <f>ROUND(T15*IF(Data!$B$1="yes",$B$65*InputSheet!$F$19,$B$64*InputSheet!$F$16),0)</f>
        <v>#DIV/0!</v>
      </c>
      <c r="U55" s="97"/>
      <c r="V55" s="117"/>
    </row>
    <row r="56" spans="1:22" ht="12.75">
      <c r="A56" s="112"/>
      <c r="B56" s="97"/>
      <c r="C56" s="99">
        <f>ROUND(C11*IF(Data!$B$1="yes",$B$65*InputSheet!$F$20,$B$64*InputSheet!$F$17),0)</f>
        <v>0</v>
      </c>
      <c r="D56" s="96"/>
      <c r="E56" s="96"/>
      <c r="F56" s="7"/>
      <c r="G56" s="7"/>
      <c r="H56" s="96"/>
      <c r="I56" s="7"/>
      <c r="J56" s="7"/>
      <c r="K56" s="118"/>
      <c r="L56" s="112"/>
      <c r="M56" s="97"/>
      <c r="N56" s="99" t="e">
        <f>ROUND(N11*IF(Data!$B$1="yes",$B$65*InputSheet!$F$20,$B$64*InputSheet!$F$17),0)</f>
        <v>#DIV/0!</v>
      </c>
      <c r="O56" s="96"/>
      <c r="P56" s="96"/>
      <c r="Q56" s="7"/>
      <c r="R56" s="7"/>
      <c r="S56" s="96"/>
      <c r="T56" s="7"/>
      <c r="U56" s="7"/>
      <c r="V56" s="118"/>
    </row>
    <row r="57" spans="1:22" ht="12.75">
      <c r="A57" s="125">
        <f>SUM(C56:C58)</f>
        <v>0</v>
      </c>
      <c r="B57" s="97"/>
      <c r="C57" s="99">
        <f>ROUND(F11*IF(Data!$B$1="yes",$B$65*InputSheet!$F$20,$B$64*InputSheet!$F$17),0)</f>
        <v>0</v>
      </c>
      <c r="D57" s="7"/>
      <c r="E57" s="7"/>
      <c r="F57" s="247"/>
      <c r="G57" s="248"/>
      <c r="H57" s="7"/>
      <c r="I57" s="7"/>
      <c r="J57" s="7"/>
      <c r="K57" s="113"/>
      <c r="L57" s="125" t="e">
        <f>SUM(N56:N58)</f>
        <v>#DIV/0!</v>
      </c>
      <c r="M57" s="97"/>
      <c r="N57" s="99" t="e">
        <f>ROUND(Q11*IF(Data!$B$1="yes",$B$65*InputSheet!$F$20,$B$64*InputSheet!$F$17),0)</f>
        <v>#DIV/0!</v>
      </c>
      <c r="O57" s="7"/>
      <c r="P57" s="7"/>
      <c r="Q57" s="247"/>
      <c r="R57" s="248"/>
      <c r="S57" s="7"/>
      <c r="T57" s="7"/>
      <c r="U57" s="7"/>
      <c r="V57" s="113"/>
    </row>
    <row r="58" spans="1:22" ht="12.75">
      <c r="A58" s="112"/>
      <c r="B58" s="97"/>
      <c r="C58" s="99">
        <f>ROUND(E17*IF(Data!$B$1="yes",$B$65*InputSheet!$F$20,$B$64*InputSheet!$F$17),0)</f>
        <v>0</v>
      </c>
      <c r="D58" s="7"/>
      <c r="E58" s="7"/>
      <c r="F58" s="7"/>
      <c r="G58" s="7"/>
      <c r="H58" s="7"/>
      <c r="I58" s="103"/>
      <c r="J58" s="7"/>
      <c r="K58" s="113"/>
      <c r="L58" s="112"/>
      <c r="M58" s="97"/>
      <c r="N58" s="99" t="e">
        <f>ROUND(P17*IF(Data!$B$1="yes",$B$65*InputSheet!$F$20,$B$64*InputSheet!$F$17),0)</f>
        <v>#DIV/0!</v>
      </c>
      <c r="O58" s="7"/>
      <c r="P58" s="7"/>
      <c r="Q58" s="7"/>
      <c r="R58" s="7"/>
      <c r="S58" s="7"/>
      <c r="T58" s="103"/>
      <c r="U58" s="7"/>
      <c r="V58" s="113"/>
    </row>
    <row r="59" spans="1:22" ht="12.75">
      <c r="A59" s="112"/>
      <c r="B59" s="7"/>
      <c r="C59" s="7"/>
      <c r="D59" s="7"/>
      <c r="E59" s="7"/>
      <c r="F59" s="7"/>
      <c r="G59" s="96"/>
      <c r="H59" s="7"/>
      <c r="I59" s="7"/>
      <c r="J59" s="7"/>
      <c r="K59" s="113"/>
      <c r="L59" s="112"/>
      <c r="M59" s="7"/>
      <c r="N59" s="7"/>
      <c r="O59" s="7"/>
      <c r="P59" s="7"/>
      <c r="Q59" s="7"/>
      <c r="R59" s="96"/>
      <c r="S59" s="7"/>
      <c r="T59" s="7"/>
      <c r="U59" s="7"/>
      <c r="V59" s="113"/>
    </row>
    <row r="60" spans="1:22" ht="12.75">
      <c r="A60" s="239">
        <f>A17</f>
        <v>0</v>
      </c>
      <c r="B60" s="240"/>
      <c r="C60" s="240"/>
      <c r="D60" s="240"/>
      <c r="E60" s="240"/>
      <c r="F60" s="7"/>
      <c r="G60" s="7"/>
      <c r="H60" s="7"/>
      <c r="I60" s="7"/>
      <c r="J60" s="7"/>
      <c r="K60" s="119"/>
      <c r="L60" s="239">
        <f>L17</f>
        <v>0</v>
      </c>
      <c r="M60" s="240"/>
      <c r="N60" s="240"/>
      <c r="O60" s="240"/>
      <c r="P60" s="240"/>
      <c r="Q60" s="7"/>
      <c r="R60" s="7"/>
      <c r="S60" s="7"/>
      <c r="T60" s="7"/>
      <c r="U60" s="7"/>
      <c r="V60" s="119"/>
    </row>
    <row r="61" spans="1:22" ht="12.75">
      <c r="A61" s="112"/>
      <c r="B61" s="7"/>
      <c r="C61" s="96"/>
      <c r="D61" s="96"/>
      <c r="E61" s="7"/>
      <c r="F61" s="99">
        <f>ROUND(E17*IF(Data!$B$1="yes",$B$64*InputSheet!$F$16,$B$65*InputSheet!$F$19),0)</f>
        <v>0</v>
      </c>
      <c r="G61" s="99">
        <f>ROUND(F14*IF(Data!$B$1="yes",$B$64*InputSheet!$F$16,$B$65*InputSheet!$F$19),0)</f>
        <v>0</v>
      </c>
      <c r="H61" s="99">
        <f>ROUND(I15*IF(Data!$B$1="yes",$B$64*InputSheet!$F$16,$B$65*InputSheet!$F$19),0)</f>
        <v>0</v>
      </c>
      <c r="I61" s="7"/>
      <c r="J61" s="235" t="s">
        <v>13</v>
      </c>
      <c r="K61" s="236"/>
      <c r="L61" s="112"/>
      <c r="M61" s="7"/>
      <c r="N61" s="96"/>
      <c r="O61" s="96"/>
      <c r="P61" s="7"/>
      <c r="Q61" s="99" t="e">
        <f>ROUND(P17*IF(Data!$B$1="yes",$B$64*InputSheet!$F$16,$B$65*InputSheet!$F$19),0)</f>
        <v>#DIV/0!</v>
      </c>
      <c r="R61" s="99" t="e">
        <f>ROUND(Q14*IF(Data!$B$1="yes",$B$64*InputSheet!$F$16,$B$65*InputSheet!$F$19),0)</f>
        <v>#DIV/0!</v>
      </c>
      <c r="S61" s="99" t="e">
        <f>ROUND(T15*IF(Data!$B$1="yes",$B$64*InputSheet!$F$16,$B$65*InputSheet!$F$19),0)</f>
        <v>#DIV/0!</v>
      </c>
      <c r="T61" s="7"/>
      <c r="U61" s="235" t="s">
        <v>13</v>
      </c>
      <c r="V61" s="236"/>
    </row>
    <row r="62" spans="1:22" ht="12.75">
      <c r="A62" s="112"/>
      <c r="B62" s="7"/>
      <c r="C62" s="7"/>
      <c r="D62" s="7"/>
      <c r="E62" s="7"/>
      <c r="F62" s="97"/>
      <c r="G62" s="97"/>
      <c r="H62" s="97"/>
      <c r="I62" s="7"/>
      <c r="J62" s="232" t="str">
        <f>TEXT(InputSheet!$F$16,"#.0%")&amp;" "&amp;MID(InputSheet!$G$16,LEN(InputSheet!$G$16)-2,2)</f>
        <v>50.0% NB</v>
      </c>
      <c r="K62" s="223"/>
      <c r="L62" s="112"/>
      <c r="M62" s="7"/>
      <c r="N62" s="7"/>
      <c r="O62" s="7"/>
      <c r="P62" s="7"/>
      <c r="Q62" s="97"/>
      <c r="R62" s="97"/>
      <c r="S62" s="97"/>
      <c r="T62" s="7"/>
      <c r="U62" s="232" t="str">
        <f>TEXT(InputSheet!$F$16,"#.0%")&amp;" "&amp;MID(InputSheet!$G$16,LEN(InputSheet!$G$16)-2,2)</f>
        <v>50.0% NB</v>
      </c>
      <c r="V62" s="223"/>
    </row>
    <row r="63" spans="1:22" ht="12.75">
      <c r="A63" s="112"/>
      <c r="B63" s="7"/>
      <c r="C63" s="7"/>
      <c r="D63" s="7"/>
      <c r="E63" s="249"/>
      <c r="F63" s="249"/>
      <c r="G63" s="99">
        <f>SUM(F61:H61)</f>
        <v>0</v>
      </c>
      <c r="H63" s="98"/>
      <c r="I63" s="7"/>
      <c r="J63" s="232" t="str">
        <f>TEXT(InputSheet!$F$17,"#.0%")&amp;" "&amp;MID(InputSheet!$G$17,LEN(InputSheet!$G$17)-2,2)</f>
        <v>50.0% SB</v>
      </c>
      <c r="K63" s="223"/>
      <c r="L63" s="112"/>
      <c r="M63" s="7"/>
      <c r="N63" s="7"/>
      <c r="O63" s="7"/>
      <c r="P63" s="249"/>
      <c r="Q63" s="249"/>
      <c r="R63" s="99" t="e">
        <f>SUM(Q61:S61)</f>
        <v>#DIV/0!</v>
      </c>
      <c r="S63" s="98"/>
      <c r="T63" s="7"/>
      <c r="U63" s="232" t="str">
        <f>TEXT(InputSheet!$F$17,"#.0%")&amp;" "&amp;MID(InputSheet!$G$17,LEN(InputSheet!$G$17)-2,2)</f>
        <v>50.0% SB</v>
      </c>
      <c r="V63" s="223"/>
    </row>
    <row r="64" spans="1:22" ht="12.75">
      <c r="A64" s="127" t="s">
        <v>161</v>
      </c>
      <c r="B64" s="259">
        <f>InputSheet!$C$16</f>
        <v>0.07</v>
      </c>
      <c r="C64" s="260"/>
      <c r="D64" s="7"/>
      <c r="E64" s="247"/>
      <c r="F64" s="249"/>
      <c r="G64" s="225">
        <f>G21</f>
        <v>0</v>
      </c>
      <c r="H64" s="225"/>
      <c r="I64" s="227"/>
      <c r="J64" s="232" t="str">
        <f>TEXT(InputSheet!$F$19,"#.0%")&amp;" "&amp;MID(InputSheet!$G$19,LEN(InputSheet!$G$19)-2,2)</f>
        <v>50.0% WB</v>
      </c>
      <c r="K64" s="223"/>
      <c r="L64" s="127" t="s">
        <v>161</v>
      </c>
      <c r="M64" s="259">
        <f>InputSheet!$C$16</f>
        <v>0.07</v>
      </c>
      <c r="N64" s="260"/>
      <c r="O64" s="7"/>
      <c r="P64" s="247"/>
      <c r="Q64" s="249"/>
      <c r="R64" s="225">
        <f>R21</f>
        <v>0</v>
      </c>
      <c r="S64" s="225"/>
      <c r="T64" s="227"/>
      <c r="U64" s="232" t="str">
        <f>TEXT(InputSheet!$F$19,"#.0%")&amp;" "&amp;MID(InputSheet!$G$19,LEN(InputSheet!$G$19)-2,2)</f>
        <v>50.0% WB</v>
      </c>
      <c r="V64" s="223"/>
    </row>
    <row r="65" spans="1:22" ht="13.5" thickBot="1">
      <c r="A65" s="126" t="s">
        <v>162</v>
      </c>
      <c r="B65" s="237">
        <f>InputSheet!$C$18</f>
        <v>0.07</v>
      </c>
      <c r="C65" s="238"/>
      <c r="D65" s="121"/>
      <c r="E65" s="121"/>
      <c r="F65" s="121"/>
      <c r="G65" s="228"/>
      <c r="H65" s="228"/>
      <c r="I65" s="229"/>
      <c r="J65" s="233" t="str">
        <f>TEXT(InputSheet!$F$20,"#.0%")&amp;" "&amp;MID(InputSheet!$G$20,LEN(InputSheet!$G$20)-2,2)</f>
        <v>50.0% EB</v>
      </c>
      <c r="K65" s="234"/>
      <c r="L65" s="126" t="s">
        <v>162</v>
      </c>
      <c r="M65" s="237">
        <f>InputSheet!$C$18</f>
        <v>0.07</v>
      </c>
      <c r="N65" s="238"/>
      <c r="O65" s="121"/>
      <c r="P65" s="121"/>
      <c r="Q65" s="121"/>
      <c r="R65" s="228"/>
      <c r="S65" s="228"/>
      <c r="T65" s="229"/>
      <c r="U65" s="233" t="str">
        <f>TEXT(InputSheet!$F$20,"#.0%")&amp;" "&amp;MID(InputSheet!$G$20,LEN(InputSheet!$G$20)-2,2)</f>
        <v>50.0% EB</v>
      </c>
      <c r="V65" s="234"/>
    </row>
    <row r="66" spans="1:22" ht="15.75">
      <c r="A66" s="255" t="str">
        <f>"1-WAY DESIGN HOUR TURNING MOVEMENTS IN YEAR "&amp;InputSheet!$I$27</f>
        <v>1-WAY DESIGN HOUR TURNING MOVEMENTS IN YEAR 0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7"/>
      <c r="L66" s="255" t="str">
        <f>"1-WAY DESIGN HOUR TURNING MOVEMENTS IN YEAR "&amp;InputSheet!$I$28</f>
        <v>1-WAY DESIGN HOUR TURNING MOVEMENTS IN YEAR 0</v>
      </c>
      <c r="M66" s="256"/>
      <c r="N66" s="256"/>
      <c r="O66" s="256"/>
      <c r="P66" s="256"/>
      <c r="Q66" s="256"/>
      <c r="R66" s="256"/>
      <c r="S66" s="256"/>
      <c r="T66" s="256"/>
      <c r="U66" s="256"/>
      <c r="V66" s="257"/>
    </row>
    <row r="67" spans="1:22" ht="12.75">
      <c r="A67" s="112"/>
      <c r="B67" s="7"/>
      <c r="C67" s="7"/>
      <c r="D67" s="7"/>
      <c r="E67" s="7"/>
      <c r="F67" s="7"/>
      <c r="G67" s="7"/>
      <c r="H67" s="7"/>
      <c r="I67" s="7"/>
      <c r="J67" s="7"/>
      <c r="K67" s="113"/>
      <c r="L67" s="112"/>
      <c r="M67" s="7"/>
      <c r="N67" s="7"/>
      <c r="O67" s="7"/>
      <c r="P67" s="7"/>
      <c r="Q67" s="7"/>
      <c r="R67" s="7"/>
      <c r="S67" s="7"/>
      <c r="T67" s="7"/>
      <c r="U67" s="7"/>
      <c r="V67" s="113"/>
    </row>
    <row r="68" spans="1:22" ht="12.75">
      <c r="A68" s="224">
        <f>A25</f>
        <v>0</v>
      </c>
      <c r="B68" s="222"/>
      <c r="C68" s="222"/>
      <c r="D68" s="222"/>
      <c r="E68" s="222"/>
      <c r="F68" s="249"/>
      <c r="G68" s="249"/>
      <c r="H68" s="7"/>
      <c r="I68" s="7"/>
      <c r="J68" s="7"/>
      <c r="K68" s="113"/>
      <c r="L68" s="224">
        <f>L25</f>
        <v>0</v>
      </c>
      <c r="M68" s="222"/>
      <c r="N68" s="222"/>
      <c r="O68" s="222"/>
      <c r="P68" s="222"/>
      <c r="Q68" s="249"/>
      <c r="R68" s="249"/>
      <c r="S68" s="7"/>
      <c r="T68" s="7"/>
      <c r="U68" s="7"/>
      <c r="V68" s="113"/>
    </row>
    <row r="69" spans="1:22" ht="12.75">
      <c r="A69" s="112"/>
      <c r="B69" s="7"/>
      <c r="C69" s="7"/>
      <c r="D69" s="7"/>
      <c r="E69" s="99" t="e">
        <f>SUM(D71:F71)</f>
        <v>#DIV/0!</v>
      </c>
      <c r="F69" s="7"/>
      <c r="G69" s="7"/>
      <c r="H69" s="7"/>
      <c r="I69" s="7"/>
      <c r="J69" s="7"/>
      <c r="K69" s="113"/>
      <c r="L69" s="112"/>
      <c r="M69" s="7"/>
      <c r="N69" s="7"/>
      <c r="O69" s="7"/>
      <c r="P69" s="99" t="e">
        <f>SUM(O71:Q71)</f>
        <v>#DIV/0!</v>
      </c>
      <c r="Q69" s="7"/>
      <c r="R69" s="7"/>
      <c r="S69" s="7"/>
      <c r="T69" s="7"/>
      <c r="U69" s="7"/>
      <c r="V69" s="113"/>
    </row>
    <row r="70" spans="1:22" ht="12.75">
      <c r="A70" s="112"/>
      <c r="B70" s="7"/>
      <c r="C70" s="96"/>
      <c r="D70" s="97"/>
      <c r="E70" s="97"/>
      <c r="F70" s="97"/>
      <c r="G70" s="7"/>
      <c r="H70" s="7"/>
      <c r="I70" s="98"/>
      <c r="J70" s="96"/>
      <c r="K70" s="113"/>
      <c r="L70" s="112"/>
      <c r="M70" s="7"/>
      <c r="N70" s="96"/>
      <c r="O70" s="97"/>
      <c r="P70" s="97"/>
      <c r="Q70" s="97"/>
      <c r="R70" s="7"/>
      <c r="S70" s="7"/>
      <c r="T70" s="98"/>
      <c r="U70" s="96"/>
      <c r="V70" s="113"/>
    </row>
    <row r="71" spans="1:22" ht="12.75">
      <c r="A71" s="112"/>
      <c r="B71" s="7"/>
      <c r="C71" s="7"/>
      <c r="D71" s="99" t="e">
        <f>ROUND(C31*IF(Data!$B$1="yes",$B$64*InputSheet!$F$17,$B$65*InputSheet!$F$20),0)</f>
        <v>#DIV/0!</v>
      </c>
      <c r="E71" s="99" t="e">
        <f>ROUND(F34*IF(Data!$B$1="yes",$B$64*InputSheet!$F$17,$B$65*InputSheet!$F$20),0)</f>
        <v>#DIV/0!</v>
      </c>
      <c r="F71" s="99" t="e">
        <f>ROUND(H28*IF(Data!$B$1="yes",$B$64*InputSheet!$F$17,$B$65*InputSheet!$F$20),0)</f>
        <v>#DIV/0!</v>
      </c>
      <c r="G71" s="7"/>
      <c r="H71" s="100"/>
      <c r="I71" s="230">
        <f>I28</f>
        <v>0</v>
      </c>
      <c r="J71" s="230"/>
      <c r="K71" s="231"/>
      <c r="L71" s="112"/>
      <c r="M71" s="7"/>
      <c r="N71" s="7"/>
      <c r="O71" s="99" t="e">
        <f>ROUND(N31*IF(Data!$B$1="yes",$B$64*InputSheet!$F$17,$B$65*InputSheet!$F$20),0)</f>
        <v>#DIV/0!</v>
      </c>
      <c r="P71" s="99" t="e">
        <f>ROUND(Q34*IF(Data!$B$1="yes",$B$64*InputSheet!$F$17,$B$65*InputSheet!$F$20),0)</f>
        <v>#DIV/0!</v>
      </c>
      <c r="Q71" s="99" t="e">
        <f>ROUND(S28*IF(Data!$B$1="yes",$B$64*InputSheet!$F$17,$B$65*InputSheet!$F$20),0)</f>
        <v>#DIV/0!</v>
      </c>
      <c r="R71" s="7"/>
      <c r="S71" s="100"/>
      <c r="T71" s="230">
        <f>T28</f>
        <v>0</v>
      </c>
      <c r="U71" s="230"/>
      <c r="V71" s="231"/>
    </row>
    <row r="72" spans="1:22" ht="12.75">
      <c r="A72" s="112"/>
      <c r="B72" s="7"/>
      <c r="C72" s="96"/>
      <c r="D72" s="96"/>
      <c r="E72" s="98"/>
      <c r="F72" s="98"/>
      <c r="G72" s="7"/>
      <c r="H72" s="7"/>
      <c r="I72" s="230"/>
      <c r="J72" s="230"/>
      <c r="K72" s="231"/>
      <c r="L72" s="112"/>
      <c r="M72" s="7"/>
      <c r="N72" s="96"/>
      <c r="O72" s="96"/>
      <c r="P72" s="98"/>
      <c r="Q72" s="98"/>
      <c r="R72" s="7"/>
      <c r="S72" s="7"/>
      <c r="T72" s="230"/>
      <c r="U72" s="230"/>
      <c r="V72" s="231"/>
    </row>
    <row r="73" spans="1:22" ht="12.75">
      <c r="A73" s="112"/>
      <c r="B73" s="7"/>
      <c r="C73" s="96"/>
      <c r="D73" s="96"/>
      <c r="E73" s="98"/>
      <c r="F73" s="98"/>
      <c r="G73" s="98"/>
      <c r="H73" s="7"/>
      <c r="I73" s="99" t="e">
        <f>ROUND(H28*IF(Data!$B$1="yes",$B$65*InputSheet!$F$19,$B$64*InputSheet!$F$16),0)</f>
        <v>#DIV/0!</v>
      </c>
      <c r="J73" s="97"/>
      <c r="K73" s="113"/>
      <c r="L73" s="112"/>
      <c r="M73" s="7"/>
      <c r="N73" s="96"/>
      <c r="O73" s="96"/>
      <c r="P73" s="98"/>
      <c r="Q73" s="98"/>
      <c r="R73" s="98"/>
      <c r="S73" s="7"/>
      <c r="T73" s="99" t="e">
        <f>ROUND(S28*IF(Data!$B$1="yes",$B$65*InputSheet!$F$19,$B$64*InputSheet!$F$16),0)</f>
        <v>#DIV/0!</v>
      </c>
      <c r="U73" s="97"/>
      <c r="V73" s="113"/>
    </row>
    <row r="74" spans="1:22" ht="12.75">
      <c r="A74" s="112"/>
      <c r="B74" s="7"/>
      <c r="C74" s="247"/>
      <c r="D74" s="248"/>
      <c r="E74" s="7"/>
      <c r="F74" s="103"/>
      <c r="G74" s="7"/>
      <c r="H74" s="7"/>
      <c r="I74" s="99" t="e">
        <f>ROUND(F31*IF(Data!$B$1="yes",$B$65*InputSheet!$F$19,$B$64*InputSheet!$F$16),0)</f>
        <v>#DIV/0!</v>
      </c>
      <c r="J74" s="97"/>
      <c r="K74" s="124" t="e">
        <f>SUM(I73:I75)</f>
        <v>#DIV/0!</v>
      </c>
      <c r="L74" s="112"/>
      <c r="M74" s="7"/>
      <c r="N74" s="247"/>
      <c r="O74" s="248"/>
      <c r="P74" s="7"/>
      <c r="Q74" s="103"/>
      <c r="R74" s="7"/>
      <c r="S74" s="7"/>
      <c r="T74" s="99" t="e">
        <f>ROUND(Q31*IF(Data!$B$1="yes",$B$65*InputSheet!$F$19,$B$64*InputSheet!$F$16),0)</f>
        <v>#DIV/0!</v>
      </c>
      <c r="U74" s="97"/>
      <c r="V74" s="124" t="e">
        <f>SUM(T73:T75)</f>
        <v>#DIV/0!</v>
      </c>
    </row>
    <row r="75" spans="1:22" ht="12.75">
      <c r="A75" s="116"/>
      <c r="B75" s="7"/>
      <c r="C75" s="98"/>
      <c r="D75" s="7"/>
      <c r="E75" s="7"/>
      <c r="F75" s="7"/>
      <c r="G75" s="7"/>
      <c r="H75" s="7"/>
      <c r="I75" s="99" t="e">
        <f>ROUND(I35*IF(Data!$B$1="yes",$B$65*InputSheet!$F$19,$B$64*InputSheet!$F$16),0)</f>
        <v>#DIV/0!</v>
      </c>
      <c r="J75" s="97"/>
      <c r="K75" s="117"/>
      <c r="L75" s="116"/>
      <c r="M75" s="7"/>
      <c r="N75" s="98"/>
      <c r="O75" s="7"/>
      <c r="P75" s="7"/>
      <c r="Q75" s="7"/>
      <c r="R75" s="7"/>
      <c r="S75" s="7"/>
      <c r="T75" s="99" t="e">
        <f>ROUND(T35*IF(Data!$B$1="yes",$B$65*InputSheet!$F$19,$B$64*InputSheet!$F$16),0)</f>
        <v>#DIV/0!</v>
      </c>
      <c r="U75" s="97"/>
      <c r="V75" s="117"/>
    </row>
    <row r="76" spans="1:22" ht="12.75">
      <c r="A76" s="112"/>
      <c r="B76" s="97"/>
      <c r="C76" s="99" t="e">
        <f>ROUND(C31*IF(Data!$B$1="yes",$B$65*InputSheet!$F$20,$B$64*InputSheet!$F$17),0)</f>
        <v>#DIV/0!</v>
      </c>
      <c r="D76" s="96"/>
      <c r="E76" s="96"/>
      <c r="F76" s="7"/>
      <c r="G76" s="7"/>
      <c r="H76" s="96"/>
      <c r="I76" s="7"/>
      <c r="J76" s="7"/>
      <c r="K76" s="118"/>
      <c r="L76" s="112"/>
      <c r="M76" s="97"/>
      <c r="N76" s="99" t="e">
        <f>ROUND(N31*IF(Data!$B$1="yes",$B$65*InputSheet!$F$20,$B$64*InputSheet!$F$17),0)</f>
        <v>#DIV/0!</v>
      </c>
      <c r="O76" s="96"/>
      <c r="P76" s="96"/>
      <c r="Q76" s="7"/>
      <c r="R76" s="7"/>
      <c r="S76" s="96"/>
      <c r="T76" s="7"/>
      <c r="U76" s="7"/>
      <c r="V76" s="118"/>
    </row>
    <row r="77" spans="1:22" ht="12.75">
      <c r="A77" s="125" t="e">
        <f>SUM(C76:C78)</f>
        <v>#DIV/0!</v>
      </c>
      <c r="B77" s="97"/>
      <c r="C77" s="99" t="e">
        <f>ROUND(F31*IF(Data!$B$1="yes",$B$65*InputSheet!$F$20,$B$64*InputSheet!$F$17),0)</f>
        <v>#DIV/0!</v>
      </c>
      <c r="D77" s="7"/>
      <c r="E77" s="7"/>
      <c r="F77" s="247"/>
      <c r="G77" s="248"/>
      <c r="H77" s="7"/>
      <c r="I77" s="7"/>
      <c r="J77" s="7"/>
      <c r="K77" s="113"/>
      <c r="L77" s="125" t="e">
        <f>SUM(N76:N78)</f>
        <v>#DIV/0!</v>
      </c>
      <c r="M77" s="97"/>
      <c r="N77" s="99" t="e">
        <f>ROUND(Q31*IF(Data!$B$1="yes",$B$65*InputSheet!$F$20,$B$64*InputSheet!$F$17),0)</f>
        <v>#DIV/0!</v>
      </c>
      <c r="O77" s="7"/>
      <c r="P77" s="7"/>
      <c r="Q77" s="247"/>
      <c r="R77" s="248"/>
      <c r="S77" s="7"/>
      <c r="T77" s="7"/>
      <c r="U77" s="7"/>
      <c r="V77" s="113"/>
    </row>
    <row r="78" spans="1:22" ht="12.75">
      <c r="A78" s="112"/>
      <c r="B78" s="97"/>
      <c r="C78" s="99" t="e">
        <f>ROUND(E37*IF(Data!$B$1="yes",$B$65*InputSheet!$F$20,$B$64*InputSheet!$F$17),0)</f>
        <v>#DIV/0!</v>
      </c>
      <c r="D78" s="7"/>
      <c r="E78" s="7"/>
      <c r="F78" s="7"/>
      <c r="G78" s="7"/>
      <c r="H78" s="7"/>
      <c r="I78" s="103"/>
      <c r="J78" s="7"/>
      <c r="K78" s="113"/>
      <c r="L78" s="112"/>
      <c r="M78" s="97"/>
      <c r="N78" s="99" t="e">
        <f>ROUND(P37*IF(Data!$B$1="yes",$B$65*InputSheet!$F$20,$B$64*InputSheet!$F$17),0)</f>
        <v>#DIV/0!</v>
      </c>
      <c r="O78" s="7"/>
      <c r="P78" s="7"/>
      <c r="Q78" s="7"/>
      <c r="R78" s="7"/>
      <c r="S78" s="7"/>
      <c r="T78" s="103"/>
      <c r="U78" s="7"/>
      <c r="V78" s="113"/>
    </row>
    <row r="79" spans="1:22" ht="12.75">
      <c r="A79" s="112"/>
      <c r="B79" s="7"/>
      <c r="C79" s="7"/>
      <c r="D79" s="7"/>
      <c r="E79" s="7"/>
      <c r="F79" s="7"/>
      <c r="G79" s="96"/>
      <c r="H79" s="7"/>
      <c r="I79" s="7"/>
      <c r="J79" s="7"/>
      <c r="K79" s="113"/>
      <c r="L79" s="112"/>
      <c r="M79" s="7"/>
      <c r="N79" s="7"/>
      <c r="O79" s="7"/>
      <c r="P79" s="7"/>
      <c r="Q79" s="7"/>
      <c r="R79" s="96"/>
      <c r="S79" s="7"/>
      <c r="T79" s="7"/>
      <c r="U79" s="7"/>
      <c r="V79" s="113"/>
    </row>
    <row r="80" spans="1:22" ht="12.75">
      <c r="A80" s="239">
        <f>A37</f>
        <v>0</v>
      </c>
      <c r="B80" s="240"/>
      <c r="C80" s="240"/>
      <c r="D80" s="240"/>
      <c r="E80" s="240"/>
      <c r="F80" s="7"/>
      <c r="G80" s="7"/>
      <c r="H80" s="7"/>
      <c r="I80" s="7"/>
      <c r="J80" s="7"/>
      <c r="K80" s="119"/>
      <c r="L80" s="239">
        <f>L37</f>
        <v>0</v>
      </c>
      <c r="M80" s="240"/>
      <c r="N80" s="240"/>
      <c r="O80" s="240"/>
      <c r="P80" s="240"/>
      <c r="Q80" s="7"/>
      <c r="R80" s="7"/>
      <c r="S80" s="7"/>
      <c r="T80" s="7"/>
      <c r="U80" s="7"/>
      <c r="V80" s="119"/>
    </row>
    <row r="81" spans="1:22" ht="12.75">
      <c r="A81" s="112"/>
      <c r="B81" s="7"/>
      <c r="C81" s="96"/>
      <c r="D81" s="96"/>
      <c r="E81" s="7"/>
      <c r="F81" s="99" t="e">
        <f>ROUND(E37*IF(Data!$B$1="yes",$B$64*InputSheet!$F$16,$B$65*InputSheet!$F$19),0)</f>
        <v>#DIV/0!</v>
      </c>
      <c r="G81" s="99" t="e">
        <f>ROUND(F34*IF(Data!$B$1="yes",$B$64*InputSheet!$F$16,$B$65*InputSheet!$F$19),0)</f>
        <v>#DIV/0!</v>
      </c>
      <c r="H81" s="99" t="e">
        <f>ROUND(I35*IF(Data!$B$1="yes",$B$64*InputSheet!$F$16,$B$65*InputSheet!$F$19),0)</f>
        <v>#DIV/0!</v>
      </c>
      <c r="I81" s="7"/>
      <c r="J81" s="235" t="s">
        <v>13</v>
      </c>
      <c r="K81" s="236"/>
      <c r="L81" s="112"/>
      <c r="M81" s="7"/>
      <c r="N81" s="96"/>
      <c r="O81" s="96"/>
      <c r="P81" s="7"/>
      <c r="Q81" s="99" t="e">
        <f>ROUND(P37*IF(Data!$B$1="yes",$B$64*InputSheet!$F$16,$B$65*InputSheet!$F$19),0)</f>
        <v>#DIV/0!</v>
      </c>
      <c r="R81" s="99" t="e">
        <f>ROUND(Q34*IF(Data!$B$1="yes",$B$64*InputSheet!$F$16,$B$65*InputSheet!$F$19),0)</f>
        <v>#DIV/0!</v>
      </c>
      <c r="S81" s="99" t="e">
        <f>ROUND(T35*IF(Data!$B$1="yes",$B$64*InputSheet!$F$16,$B$65*InputSheet!$F$19),0)</f>
        <v>#DIV/0!</v>
      </c>
      <c r="T81" s="7"/>
      <c r="U81" s="235" t="s">
        <v>13</v>
      </c>
      <c r="V81" s="236"/>
    </row>
    <row r="82" spans="1:22" ht="12.75">
      <c r="A82" s="112"/>
      <c r="B82" s="7"/>
      <c r="C82" s="7"/>
      <c r="D82" s="7"/>
      <c r="E82" s="7"/>
      <c r="F82" s="97"/>
      <c r="G82" s="97"/>
      <c r="H82" s="97"/>
      <c r="I82" s="7"/>
      <c r="J82" s="232" t="str">
        <f>TEXT(InputSheet!$F$16,"#.0%")&amp;" "&amp;MID(InputSheet!$G$16,LEN(InputSheet!$G$16)-2,2)</f>
        <v>50.0% NB</v>
      </c>
      <c r="K82" s="223"/>
      <c r="L82" s="112"/>
      <c r="M82" s="7"/>
      <c r="N82" s="7"/>
      <c r="O82" s="7"/>
      <c r="P82" s="7"/>
      <c r="Q82" s="97"/>
      <c r="R82" s="97"/>
      <c r="S82" s="97"/>
      <c r="T82" s="7"/>
      <c r="U82" s="232" t="str">
        <f>TEXT(InputSheet!$F$16,"#.0%")&amp;" "&amp;MID(InputSheet!$G$16,LEN(InputSheet!$G$16)-2,2)</f>
        <v>50.0% NB</v>
      </c>
      <c r="V82" s="223"/>
    </row>
    <row r="83" spans="1:22" ht="12.75">
      <c r="A83" s="112"/>
      <c r="B83" s="7"/>
      <c r="C83" s="7"/>
      <c r="D83" s="7"/>
      <c r="E83" s="249"/>
      <c r="F83" s="249"/>
      <c r="G83" s="99" t="e">
        <f>SUM(F81:H81)</f>
        <v>#DIV/0!</v>
      </c>
      <c r="H83" s="98"/>
      <c r="I83" s="7"/>
      <c r="J83" s="232" t="str">
        <f>TEXT(InputSheet!$F$17,"#.0%")&amp;" "&amp;MID(InputSheet!$G$17,LEN(InputSheet!$G$17)-2,2)</f>
        <v>50.0% SB</v>
      </c>
      <c r="K83" s="223"/>
      <c r="L83" s="112"/>
      <c r="M83" s="7"/>
      <c r="N83" s="7"/>
      <c r="O83" s="7"/>
      <c r="P83" s="249"/>
      <c r="Q83" s="249"/>
      <c r="R83" s="99" t="e">
        <f>SUM(Q81:S81)</f>
        <v>#DIV/0!</v>
      </c>
      <c r="S83" s="98"/>
      <c r="T83" s="7"/>
      <c r="U83" s="232" t="str">
        <f>TEXT(InputSheet!$F$17,"#.0%")&amp;" "&amp;MID(InputSheet!$G$17,LEN(InputSheet!$G$17)-2,2)</f>
        <v>50.0% SB</v>
      </c>
      <c r="V83" s="223"/>
    </row>
    <row r="84" spans="1:22" ht="12.75">
      <c r="A84" s="127" t="s">
        <v>161</v>
      </c>
      <c r="B84" s="259">
        <f>InputSheet!$C$16</f>
        <v>0.07</v>
      </c>
      <c r="C84" s="260"/>
      <c r="D84" s="7"/>
      <c r="E84" s="247"/>
      <c r="F84" s="249"/>
      <c r="G84" s="225">
        <f>G41</f>
        <v>0</v>
      </c>
      <c r="H84" s="225"/>
      <c r="I84" s="227"/>
      <c r="J84" s="232" t="str">
        <f>TEXT(InputSheet!$F$19,"#.0%")&amp;" "&amp;MID(InputSheet!$G$19,LEN(InputSheet!$G$19)-2,2)</f>
        <v>50.0% WB</v>
      </c>
      <c r="K84" s="223"/>
      <c r="L84" s="127" t="s">
        <v>161</v>
      </c>
      <c r="M84" s="259">
        <f>InputSheet!$C$16</f>
        <v>0.07</v>
      </c>
      <c r="N84" s="260"/>
      <c r="O84" s="7"/>
      <c r="P84" s="247"/>
      <c r="Q84" s="249"/>
      <c r="R84" s="225">
        <f>R41</f>
        <v>0</v>
      </c>
      <c r="S84" s="225"/>
      <c r="T84" s="227"/>
      <c r="U84" s="232" t="str">
        <f>TEXT(InputSheet!$F$19,"#.0%")&amp;" "&amp;MID(InputSheet!$G$19,LEN(InputSheet!$G$19)-2,2)</f>
        <v>50.0% WB</v>
      </c>
      <c r="V84" s="223"/>
    </row>
    <row r="85" spans="1:22" ht="13.5" thickBot="1">
      <c r="A85" s="126" t="s">
        <v>162</v>
      </c>
      <c r="B85" s="237">
        <f>InputSheet!$C$18</f>
        <v>0.07</v>
      </c>
      <c r="C85" s="238"/>
      <c r="D85" s="121"/>
      <c r="E85" s="121"/>
      <c r="F85" s="121"/>
      <c r="G85" s="228"/>
      <c r="H85" s="228"/>
      <c r="I85" s="229"/>
      <c r="J85" s="233" t="str">
        <f>TEXT(InputSheet!$F$20,"#.0%")&amp;" "&amp;MID(InputSheet!$G$20,LEN(InputSheet!$G$20)-2,2)</f>
        <v>50.0% EB</v>
      </c>
      <c r="K85" s="234"/>
      <c r="L85" s="126" t="s">
        <v>162</v>
      </c>
      <c r="M85" s="237">
        <f>InputSheet!$C$18</f>
        <v>0.07</v>
      </c>
      <c r="N85" s="238"/>
      <c r="O85" s="121"/>
      <c r="P85" s="121"/>
      <c r="Q85" s="121"/>
      <c r="R85" s="228"/>
      <c r="S85" s="228"/>
      <c r="T85" s="229"/>
      <c r="U85" s="233" t="str">
        <f>TEXT(InputSheet!$F$20,"#.0%")&amp;" "&amp;MID(InputSheet!$G$20,LEN(InputSheet!$G$20)-2,2)</f>
        <v>50.0% EB</v>
      </c>
      <c r="V85" s="234"/>
    </row>
    <row r="88" spans="1:22" ht="20.25">
      <c r="A88" s="258" t="str">
        <f>"PROJECT TRAFFIC FOR "&amp;InputSheet!$C$6&amp;" AT "&amp;InputSheet!$C$7&amp;":  "&amp;InputSheet!$C$8&amp;" TO "&amp;InputSheet!$C$9</f>
        <v>PROJECT TRAFFIC FOR  AT :   TO 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</row>
    <row r="89" ht="13.5" thickBot="1"/>
    <row r="90" spans="1:22" ht="15.75">
      <c r="A90" s="255" t="str">
        <f>InputSheet!$I$25&amp;" TRAFFIC"</f>
        <v>0 TRAFFIC</v>
      </c>
      <c r="B90" s="256"/>
      <c r="C90" s="256"/>
      <c r="D90" s="256"/>
      <c r="E90" s="256"/>
      <c r="F90" s="256"/>
      <c r="G90" s="256"/>
      <c r="H90" s="256"/>
      <c r="I90" s="256"/>
      <c r="J90" s="256"/>
      <c r="K90" s="257"/>
      <c r="L90" s="255" t="str">
        <f>InputSheet!$I$25&amp;" TRAFFIC COMPARED TO "&amp;InputSheet!$I$26&amp;" TRAFFIC"</f>
        <v>0 TRAFFIC COMPARED TO 0 TRAFFIC</v>
      </c>
      <c r="M90" s="256"/>
      <c r="N90" s="256"/>
      <c r="O90" s="256"/>
      <c r="P90" s="256"/>
      <c r="Q90" s="256"/>
      <c r="R90" s="256"/>
      <c r="S90" s="256"/>
      <c r="T90" s="256"/>
      <c r="U90" s="256"/>
      <c r="V90" s="257"/>
    </row>
    <row r="91" spans="1:22" ht="12.75">
      <c r="A91" s="112"/>
      <c r="B91" s="7"/>
      <c r="C91" s="7"/>
      <c r="D91" s="7"/>
      <c r="E91" s="7"/>
      <c r="F91" s="7"/>
      <c r="G91" s="7"/>
      <c r="H91" s="7"/>
      <c r="I91" s="7"/>
      <c r="J91" s="7"/>
      <c r="K91" s="113"/>
      <c r="L91" s="112"/>
      <c r="M91" s="7"/>
      <c r="N91" s="7"/>
      <c r="O91" s="7"/>
      <c r="P91" s="7"/>
      <c r="Q91" s="7"/>
      <c r="R91" s="7"/>
      <c r="S91" s="7"/>
      <c r="T91" s="7"/>
      <c r="U91" s="7"/>
      <c r="V91" s="113"/>
    </row>
    <row r="92" spans="1:22" ht="12.75">
      <c r="A92" s="112"/>
      <c r="B92" s="243"/>
      <c r="C92" s="243"/>
      <c r="D92" s="243"/>
      <c r="F92" s="128"/>
      <c r="G92" s="95"/>
      <c r="H92" s="7"/>
      <c r="I92" s="7"/>
      <c r="J92" s="7"/>
      <c r="K92" s="113"/>
      <c r="L92" s="112"/>
      <c r="M92" s="243"/>
      <c r="N92" s="243"/>
      <c r="O92" s="243"/>
      <c r="Q92" s="128">
        <f>$F$5</f>
        <v>0</v>
      </c>
      <c r="R92" s="95"/>
      <c r="S92" s="7"/>
      <c r="T92" s="7"/>
      <c r="U92" s="7"/>
      <c r="V92" s="113"/>
    </row>
    <row r="93" spans="1:22" ht="12.75">
      <c r="A93" s="112"/>
      <c r="B93" s="7"/>
      <c r="C93" s="7"/>
      <c r="D93" s="7"/>
      <c r="E93" s="7"/>
      <c r="F93" s="129">
        <f>F5</f>
        <v>0</v>
      </c>
      <c r="G93" s="7"/>
      <c r="H93" s="7"/>
      <c r="I93" s="7"/>
      <c r="J93" s="7"/>
      <c r="K93" s="113"/>
      <c r="L93" s="112"/>
      <c r="M93" s="7"/>
      <c r="N93" s="7"/>
      <c r="O93" s="7"/>
      <c r="P93" s="7"/>
      <c r="Q93" s="129" t="e">
        <f>Q5</f>
        <v>#DIV/0!</v>
      </c>
      <c r="R93" s="7"/>
      <c r="S93" s="7"/>
      <c r="T93" s="7"/>
      <c r="U93" s="7"/>
      <c r="V93" s="113"/>
    </row>
    <row r="94" spans="1:22" ht="12.75">
      <c r="A94" s="112"/>
      <c r="B94" s="7"/>
      <c r="C94" s="96"/>
      <c r="D94" s="106"/>
      <c r="E94" s="97"/>
      <c r="F94" s="131"/>
      <c r="G94" s="7"/>
      <c r="H94" s="106"/>
      <c r="I94" s="98"/>
      <c r="J94" s="96"/>
      <c r="K94" s="113"/>
      <c r="L94" s="112"/>
      <c r="M94" s="7"/>
      <c r="N94" s="96"/>
      <c r="O94" s="106">
        <f>$C$11</f>
        <v>0</v>
      </c>
      <c r="P94" s="97"/>
      <c r="Q94" s="131" t="str">
        <f>IF(Q92&lt;&gt;0,Q93/Q92,"N/A")</f>
        <v>N/A</v>
      </c>
      <c r="R94" s="7"/>
      <c r="S94" s="106">
        <f>$H$8</f>
        <v>0</v>
      </c>
      <c r="T94" s="98"/>
      <c r="U94" s="96"/>
      <c r="V94" s="113"/>
    </row>
    <row r="95" spans="1:22" ht="12.75" customHeight="1">
      <c r="A95" s="112"/>
      <c r="B95" s="7"/>
      <c r="C95" s="7"/>
      <c r="D95" s="141">
        <f>C11</f>
        <v>0</v>
      </c>
      <c r="E95" s="242">
        <f>IF(Data!$B$1="yes",InputSheet!$C$6,InputSheet!$C$7)</f>
        <v>0</v>
      </c>
      <c r="F95" s="242"/>
      <c r="G95" s="242"/>
      <c r="H95" s="141">
        <f>H8</f>
        <v>0</v>
      </c>
      <c r="J95" s="101"/>
      <c r="K95" s="114"/>
      <c r="L95" s="112"/>
      <c r="M95" s="7"/>
      <c r="N95" s="7"/>
      <c r="O95" s="141" t="e">
        <f>N11</f>
        <v>#DIV/0!</v>
      </c>
      <c r="P95" s="242">
        <f>IF(Data!$B$1="yes",InputSheet!$C$6,InputSheet!$C$7)</f>
        <v>0</v>
      </c>
      <c r="Q95" s="242"/>
      <c r="R95" s="242"/>
      <c r="S95" s="141" t="e">
        <f>S8</f>
        <v>#DIV/0!</v>
      </c>
      <c r="U95" s="101"/>
      <c r="V95" s="114"/>
    </row>
    <row r="96" spans="1:22" ht="12.75">
      <c r="A96" s="112"/>
      <c r="B96" s="7"/>
      <c r="C96" s="96"/>
      <c r="D96" s="136"/>
      <c r="E96" s="242"/>
      <c r="F96" s="242"/>
      <c r="G96" s="242"/>
      <c r="H96" s="136"/>
      <c r="I96" s="101"/>
      <c r="J96" s="101"/>
      <c r="K96" s="114"/>
      <c r="L96" s="112"/>
      <c r="M96" s="7"/>
      <c r="N96" s="96"/>
      <c r="O96" s="136" t="str">
        <f>IF(O94&lt;&gt;0,O95/O94,"N/A")</f>
        <v>N/A</v>
      </c>
      <c r="P96" s="242"/>
      <c r="Q96" s="242"/>
      <c r="R96" s="242"/>
      <c r="S96" s="136" t="str">
        <f>IF(S94&lt;&gt;0,S95/S94,"N/A")</f>
        <v>N/A</v>
      </c>
      <c r="T96" s="101"/>
      <c r="U96" s="101"/>
      <c r="V96" s="114"/>
    </row>
    <row r="97" spans="1:22" ht="12.75">
      <c r="A97" s="112"/>
      <c r="B97" s="7"/>
      <c r="C97" s="96"/>
      <c r="E97" s="242"/>
      <c r="F97" s="242"/>
      <c r="G97" s="242"/>
      <c r="H97" s="7"/>
      <c r="I97" s="99"/>
      <c r="J97" s="97"/>
      <c r="K97" s="113"/>
      <c r="L97" s="112"/>
      <c r="M97" s="7"/>
      <c r="N97" s="96"/>
      <c r="P97" s="242"/>
      <c r="Q97" s="242"/>
      <c r="R97" s="242"/>
      <c r="S97" s="7"/>
      <c r="T97" s="99"/>
      <c r="U97" s="97"/>
      <c r="V97" s="113"/>
    </row>
    <row r="98" spans="1:22" ht="12.75">
      <c r="A98" s="112"/>
      <c r="B98" s="7"/>
      <c r="C98" s="247"/>
      <c r="D98" s="248"/>
      <c r="E98" s="7"/>
      <c r="F98" s="103"/>
      <c r="G98" s="7"/>
      <c r="H98" s="7"/>
      <c r="I98" s="99"/>
      <c r="J98" s="97"/>
      <c r="K98" s="115"/>
      <c r="L98" s="112"/>
      <c r="M98" s="7"/>
      <c r="N98" s="247"/>
      <c r="O98" s="248"/>
      <c r="P98" s="7"/>
      <c r="Q98" s="103"/>
      <c r="R98" s="7"/>
      <c r="S98" s="7"/>
      <c r="T98" s="99"/>
      <c r="U98" s="97"/>
      <c r="V98" s="115"/>
    </row>
    <row r="99" spans="1:22" ht="12.75">
      <c r="A99" s="135"/>
      <c r="B99" s="7"/>
      <c r="C99" s="98"/>
      <c r="D99" s="140"/>
      <c r="E99" s="7"/>
      <c r="F99" s="132"/>
      <c r="G99" s="7"/>
      <c r="H99" s="241">
        <f>IF(Data!$B$1="yes",InputSheet!$C$7,InputSheet!$C$6)</f>
        <v>0</v>
      </c>
      <c r="I99" s="241"/>
      <c r="J99" s="173"/>
      <c r="K99" s="137"/>
      <c r="L99" s="135">
        <f>$A$12</f>
        <v>0</v>
      </c>
      <c r="M99" s="7"/>
      <c r="N99" s="98"/>
      <c r="O99" s="140">
        <f>$F$11</f>
        <v>0</v>
      </c>
      <c r="P99" s="7"/>
      <c r="Q99" s="132">
        <f>$F$14</f>
        <v>0</v>
      </c>
      <c r="R99" s="7"/>
      <c r="S99" s="241">
        <f>IF(Data!$B$1="yes",InputSheet!$C$7,InputSheet!$C$6)</f>
        <v>0</v>
      </c>
      <c r="T99" s="241"/>
      <c r="U99" s="97"/>
      <c r="V99" s="147">
        <f>$K$13</f>
        <v>0</v>
      </c>
    </row>
    <row r="100" spans="1:22" ht="12.75">
      <c r="A100" s="134">
        <f>A12</f>
        <v>0</v>
      </c>
      <c r="B100" s="97"/>
      <c r="C100" s="99"/>
      <c r="D100" s="102">
        <f>F11</f>
        <v>0</v>
      </c>
      <c r="E100" s="96"/>
      <c r="F100" s="133">
        <f>F14</f>
        <v>0</v>
      </c>
      <c r="G100" s="7"/>
      <c r="H100" s="241"/>
      <c r="I100" s="241"/>
      <c r="J100" s="173"/>
      <c r="K100" s="138">
        <f>K13</f>
        <v>0</v>
      </c>
      <c r="L100" s="134" t="e">
        <f>L12</f>
        <v>#DIV/0!</v>
      </c>
      <c r="M100" s="97"/>
      <c r="N100" s="99"/>
      <c r="O100" s="102" t="e">
        <f>Q11</f>
        <v>#DIV/0!</v>
      </c>
      <c r="P100" s="96"/>
      <c r="Q100" s="133" t="e">
        <f>Q14</f>
        <v>#DIV/0!</v>
      </c>
      <c r="R100" s="7"/>
      <c r="S100" s="241"/>
      <c r="T100" s="241"/>
      <c r="U100" s="7"/>
      <c r="V100" s="138" t="e">
        <f>V13</f>
        <v>#DIV/0!</v>
      </c>
    </row>
    <row r="101" spans="1:22" ht="12.75">
      <c r="A101" s="112"/>
      <c r="B101" s="97"/>
      <c r="C101" s="99"/>
      <c r="D101" s="131"/>
      <c r="E101" s="7"/>
      <c r="F101" s="130"/>
      <c r="G101" s="131"/>
      <c r="H101" s="241"/>
      <c r="I101" s="241"/>
      <c r="J101" s="173"/>
      <c r="K101" s="139"/>
      <c r="L101" s="136" t="str">
        <f>IF(L99&lt;&gt;0,L100/L99,"N/A")</f>
        <v>N/A</v>
      </c>
      <c r="M101" s="97"/>
      <c r="N101" s="99"/>
      <c r="O101" s="131" t="str">
        <f>IF(O99&lt;&gt;0,O100/O99,"N/A")</f>
        <v>N/A</v>
      </c>
      <c r="P101" s="7"/>
      <c r="Q101" s="130" t="str">
        <f>IF(Q99&lt;&gt;0,Q100/Q99,"N/A")</f>
        <v>N/A</v>
      </c>
      <c r="R101" s="131"/>
      <c r="S101" s="241"/>
      <c r="T101" s="241"/>
      <c r="U101" s="7"/>
      <c r="V101" s="139" t="str">
        <f>IF(V99&lt;&gt;0,V100/V99,"N/A")</f>
        <v>N/A</v>
      </c>
    </row>
    <row r="102" spans="1:22" ht="12.75">
      <c r="A102" s="112"/>
      <c r="B102" s="97"/>
      <c r="C102" s="99"/>
      <c r="D102" s="7"/>
      <c r="E102" s="7"/>
      <c r="F102" s="7"/>
      <c r="G102" s="7"/>
      <c r="H102" s="7"/>
      <c r="I102" s="103"/>
      <c r="J102" s="7"/>
      <c r="K102" s="113"/>
      <c r="L102" s="112"/>
      <c r="M102" s="97"/>
      <c r="N102" s="99"/>
      <c r="O102" s="7"/>
      <c r="P102" s="7"/>
      <c r="Q102" s="7"/>
      <c r="R102" s="7"/>
      <c r="S102" s="7"/>
      <c r="T102" s="103"/>
      <c r="U102" s="7"/>
      <c r="V102" s="113"/>
    </row>
    <row r="103" spans="1:22" ht="12.75">
      <c r="A103" s="112"/>
      <c r="B103" s="7"/>
      <c r="C103" s="7"/>
      <c r="D103" s="7"/>
      <c r="E103" s="7"/>
      <c r="F103" s="7"/>
      <c r="G103" s="96"/>
      <c r="I103" s="7"/>
      <c r="J103" s="7"/>
      <c r="K103" s="113"/>
      <c r="L103" s="112"/>
      <c r="M103" s="7"/>
      <c r="N103" s="7"/>
      <c r="O103" s="7"/>
      <c r="P103" s="7"/>
      <c r="Q103" s="7"/>
      <c r="R103" s="96"/>
      <c r="T103" s="7"/>
      <c r="U103" s="7"/>
      <c r="V103" s="113"/>
    </row>
    <row r="104" spans="1:22" ht="12.75">
      <c r="A104" s="246"/>
      <c r="B104" s="243"/>
      <c r="C104" s="243"/>
      <c r="D104" s="106"/>
      <c r="E104" s="104"/>
      <c r="F104" s="7"/>
      <c r="G104" s="7"/>
      <c r="H104" s="106"/>
      <c r="I104" s="7"/>
      <c r="J104" s="7"/>
      <c r="K104" s="119"/>
      <c r="L104" s="246"/>
      <c r="M104" s="243"/>
      <c r="N104" s="243"/>
      <c r="O104" s="106">
        <f>$E$17</f>
        <v>0</v>
      </c>
      <c r="P104" s="104"/>
      <c r="Q104" s="7"/>
      <c r="R104" s="7"/>
      <c r="S104" s="106">
        <f>$I$15</f>
        <v>0</v>
      </c>
      <c r="T104" s="7"/>
      <c r="U104" s="7"/>
      <c r="V104" s="119"/>
    </row>
    <row r="105" spans="1:22" ht="12.75">
      <c r="A105" s="112"/>
      <c r="B105" s="7"/>
      <c r="C105" s="96"/>
      <c r="D105" s="141">
        <f>E17</f>
        <v>0</v>
      </c>
      <c r="E105" s="7"/>
      <c r="F105" s="99"/>
      <c r="G105" s="99"/>
      <c r="H105" s="141">
        <f>I15</f>
        <v>0</v>
      </c>
      <c r="I105" s="7"/>
      <c r="J105" s="7"/>
      <c r="K105" s="113"/>
      <c r="L105" s="112"/>
      <c r="M105" s="7"/>
      <c r="N105" s="96"/>
      <c r="O105" s="141" t="e">
        <f>P17</f>
        <v>#DIV/0!</v>
      </c>
      <c r="P105" s="7"/>
      <c r="Q105" s="99"/>
      <c r="R105" s="99"/>
      <c r="S105" s="141" t="e">
        <f>T15</f>
        <v>#DIV/0!</v>
      </c>
      <c r="T105" s="7"/>
      <c r="U105" s="7"/>
      <c r="V105" s="113"/>
    </row>
    <row r="106" spans="1:22" ht="12.75">
      <c r="A106" s="112"/>
      <c r="B106" s="7"/>
      <c r="C106" s="7"/>
      <c r="D106" s="136"/>
      <c r="E106" s="7"/>
      <c r="F106" s="132"/>
      <c r="G106" s="97"/>
      <c r="H106" s="136"/>
      <c r="I106" s="7"/>
      <c r="J106" s="98"/>
      <c r="K106" s="119"/>
      <c r="L106" s="112"/>
      <c r="M106" s="7"/>
      <c r="N106" s="7"/>
      <c r="O106" s="136" t="str">
        <f>IF(O104&lt;&gt;0,O105/O104,"N/A")</f>
        <v>N/A</v>
      </c>
      <c r="P106" s="7"/>
      <c r="Q106" s="132">
        <f>$E$21</f>
        <v>0</v>
      </c>
      <c r="R106" s="97"/>
      <c r="S106" s="136" t="str">
        <f>IF(S104&lt;&gt;0,S105/S104,"N/A")</f>
        <v>N/A</v>
      </c>
      <c r="T106" s="7"/>
      <c r="U106" s="98"/>
      <c r="V106" s="119"/>
    </row>
    <row r="107" spans="1:22" ht="12.75">
      <c r="A107" s="145"/>
      <c r="B107" s="144"/>
      <c r="C107" s="7"/>
      <c r="D107" s="7"/>
      <c r="E107" s="95"/>
      <c r="F107" s="133">
        <f>E21</f>
        <v>0</v>
      </c>
      <c r="G107" s="99"/>
      <c r="H107" s="98"/>
      <c r="I107" s="7"/>
      <c r="J107" s="7"/>
      <c r="K107" s="113"/>
      <c r="L107" s="145" t="s">
        <v>164</v>
      </c>
      <c r="M107" s="144">
        <f>InputSheet!$I$25</f>
        <v>0</v>
      </c>
      <c r="N107" s="7"/>
      <c r="O107" s="7"/>
      <c r="P107" s="95"/>
      <c r="Q107" s="133" t="e">
        <f>P21</f>
        <v>#DIV/0!</v>
      </c>
      <c r="R107" s="99"/>
      <c r="S107" s="98"/>
      <c r="T107" s="7"/>
      <c r="U107" s="7"/>
      <c r="V107" s="113"/>
    </row>
    <row r="108" spans="1:22" ht="12.75">
      <c r="A108" s="142" t="s">
        <v>164</v>
      </c>
      <c r="B108" s="107">
        <f>InputSheet!$I$25</f>
        <v>0</v>
      </c>
      <c r="C108" s="7"/>
      <c r="D108" s="7"/>
      <c r="E108" s="102"/>
      <c r="F108" s="131"/>
      <c r="H108" s="105"/>
      <c r="I108" s="105"/>
      <c r="J108" s="7"/>
      <c r="K108" s="113"/>
      <c r="L108" s="142" t="s">
        <v>164</v>
      </c>
      <c r="M108" s="107">
        <f>InputSheet!$I$26</f>
        <v>0</v>
      </c>
      <c r="N108" s="7"/>
      <c r="O108" s="7"/>
      <c r="P108" s="102"/>
      <c r="Q108" s="131" t="str">
        <f>IF(Q106&lt;&gt;0,Q107/Q106,"N/A")</f>
        <v>N/A</v>
      </c>
      <c r="S108" s="105"/>
      <c r="T108" s="105"/>
      <c r="U108" s="7"/>
      <c r="V108" s="113"/>
    </row>
    <row r="109" spans="1:22" ht="13.5" thickBot="1">
      <c r="A109" s="143"/>
      <c r="B109" s="146"/>
      <c r="C109" s="121"/>
      <c r="D109" s="121"/>
      <c r="E109" s="121"/>
      <c r="F109" s="121"/>
      <c r="G109" s="122"/>
      <c r="H109" s="121"/>
      <c r="I109" s="121"/>
      <c r="J109" s="121"/>
      <c r="K109" s="123"/>
      <c r="L109" s="143" t="s">
        <v>165</v>
      </c>
      <c r="M109" s="146" t="s">
        <v>163</v>
      </c>
      <c r="N109" s="121"/>
      <c r="O109" s="121"/>
      <c r="P109" s="121"/>
      <c r="Q109" s="121"/>
      <c r="R109" s="122"/>
      <c r="S109" s="121"/>
      <c r="T109" s="121"/>
      <c r="U109" s="121"/>
      <c r="V109" s="123"/>
    </row>
    <row r="110" spans="1:22" ht="15.75">
      <c r="A110" s="255" t="str">
        <f>InputSheet!$I$25&amp;" TRAFFIC COMPARED TO "&amp;InputSheet!$I$27&amp;" TRAFFIC"</f>
        <v>0 TRAFFIC COMPARED TO 0 TRAFFIC</v>
      </c>
      <c r="B110" s="256"/>
      <c r="C110" s="256"/>
      <c r="D110" s="256"/>
      <c r="E110" s="256"/>
      <c r="F110" s="256"/>
      <c r="G110" s="256"/>
      <c r="H110" s="256"/>
      <c r="I110" s="256"/>
      <c r="J110" s="256"/>
      <c r="K110" s="257"/>
      <c r="L110" s="255" t="str">
        <f>InputSheet!$I$25&amp;" TRAFFIC COMPARED TO "&amp;InputSheet!$I$28&amp;" TRAFFIC"</f>
        <v>0 TRAFFIC COMPARED TO 0 TRAFFIC</v>
      </c>
      <c r="M110" s="256"/>
      <c r="N110" s="256"/>
      <c r="O110" s="256"/>
      <c r="P110" s="256"/>
      <c r="Q110" s="256"/>
      <c r="R110" s="256"/>
      <c r="S110" s="256"/>
      <c r="T110" s="256"/>
      <c r="U110" s="256"/>
      <c r="V110" s="257"/>
    </row>
    <row r="111" spans="1:22" ht="12.75">
      <c r="A111" s="112"/>
      <c r="B111" s="7"/>
      <c r="C111" s="7"/>
      <c r="D111" s="7"/>
      <c r="E111" s="7"/>
      <c r="F111" s="7"/>
      <c r="G111" s="7"/>
      <c r="H111" s="7"/>
      <c r="I111" s="7"/>
      <c r="J111" s="7"/>
      <c r="K111" s="113"/>
      <c r="L111" s="112"/>
      <c r="M111" s="7"/>
      <c r="N111" s="7"/>
      <c r="O111" s="7"/>
      <c r="P111" s="7"/>
      <c r="Q111" s="7"/>
      <c r="R111" s="7"/>
      <c r="S111" s="7"/>
      <c r="T111" s="7"/>
      <c r="U111" s="7"/>
      <c r="V111" s="113"/>
    </row>
    <row r="112" spans="1:22" ht="12.75">
      <c r="A112" s="112"/>
      <c r="B112" s="243"/>
      <c r="C112" s="243"/>
      <c r="D112" s="243"/>
      <c r="F112" s="128">
        <f>$F$5</f>
        <v>0</v>
      </c>
      <c r="G112" s="95"/>
      <c r="H112" s="7"/>
      <c r="I112" s="7"/>
      <c r="J112" s="7"/>
      <c r="K112" s="113"/>
      <c r="L112" s="112"/>
      <c r="M112" s="243"/>
      <c r="N112" s="243"/>
      <c r="O112" s="243"/>
      <c r="Q112" s="128">
        <f>$F$5</f>
        <v>0</v>
      </c>
      <c r="R112" s="95"/>
      <c r="S112" s="7"/>
      <c r="T112" s="7"/>
      <c r="U112" s="7"/>
      <c r="V112" s="113"/>
    </row>
    <row r="113" spans="1:22" ht="12.75">
      <c r="A113" s="112"/>
      <c r="B113" s="7"/>
      <c r="C113" s="7"/>
      <c r="D113" s="7"/>
      <c r="E113" s="7"/>
      <c r="F113" s="129" t="e">
        <f>F25</f>
        <v>#DIV/0!</v>
      </c>
      <c r="G113" s="7"/>
      <c r="H113" s="7"/>
      <c r="I113" s="7"/>
      <c r="J113" s="7"/>
      <c r="K113" s="113"/>
      <c r="L113" s="112"/>
      <c r="M113" s="7"/>
      <c r="N113" s="7"/>
      <c r="O113" s="7"/>
      <c r="P113" s="7"/>
      <c r="Q113" s="129" t="e">
        <f>Q25</f>
        <v>#DIV/0!</v>
      </c>
      <c r="R113" s="7"/>
      <c r="S113" s="7"/>
      <c r="T113" s="7"/>
      <c r="U113" s="7"/>
      <c r="V113" s="113"/>
    </row>
    <row r="114" spans="1:22" ht="12.75">
      <c r="A114" s="112"/>
      <c r="B114" s="7"/>
      <c r="C114" s="96"/>
      <c r="D114" s="106">
        <f>$C$11</f>
        <v>0</v>
      </c>
      <c r="E114" s="97"/>
      <c r="F114" s="131" t="str">
        <f>IF(F112&lt;&gt;0,F113/F112,"N/A")</f>
        <v>N/A</v>
      </c>
      <c r="G114" s="7"/>
      <c r="H114" s="106">
        <f>$H$8</f>
        <v>0</v>
      </c>
      <c r="I114" s="98"/>
      <c r="J114" s="96"/>
      <c r="K114" s="113"/>
      <c r="L114" s="112"/>
      <c r="M114" s="7"/>
      <c r="N114" s="96"/>
      <c r="O114" s="106">
        <f>$C$11</f>
        <v>0</v>
      </c>
      <c r="P114" s="97"/>
      <c r="Q114" s="131" t="str">
        <f>IF(Q112&lt;&gt;0,Q113/Q112,"N/A")</f>
        <v>N/A</v>
      </c>
      <c r="R114" s="7"/>
      <c r="S114" s="106">
        <f>$H$8</f>
        <v>0</v>
      </c>
      <c r="T114" s="98"/>
      <c r="U114" s="96"/>
      <c r="V114" s="113"/>
    </row>
    <row r="115" spans="1:22" ht="12.75" customHeight="1">
      <c r="A115" s="112"/>
      <c r="B115" s="7"/>
      <c r="C115" s="7"/>
      <c r="D115" s="141" t="e">
        <f>C31</f>
        <v>#DIV/0!</v>
      </c>
      <c r="E115" s="242">
        <f>IF(Data!$B$1="yes",InputSheet!$C$6,InputSheet!$C$7)</f>
        <v>0</v>
      </c>
      <c r="F115" s="242"/>
      <c r="G115" s="242"/>
      <c r="H115" s="141" t="e">
        <f>H28</f>
        <v>#DIV/0!</v>
      </c>
      <c r="J115" s="101"/>
      <c r="K115" s="114"/>
      <c r="L115" s="112"/>
      <c r="M115" s="7"/>
      <c r="N115" s="7"/>
      <c r="O115" s="141" t="e">
        <f>N31</f>
        <v>#DIV/0!</v>
      </c>
      <c r="P115" s="242">
        <f>IF(Data!$B$1="yes",InputSheet!$C$6,InputSheet!$C$7)</f>
        <v>0</v>
      </c>
      <c r="Q115" s="242"/>
      <c r="R115" s="242"/>
      <c r="S115" s="141" t="e">
        <f>S28</f>
        <v>#DIV/0!</v>
      </c>
      <c r="U115" s="101"/>
      <c r="V115" s="114"/>
    </row>
    <row r="116" spans="1:22" ht="12.75">
      <c r="A116" s="112"/>
      <c r="B116" s="7"/>
      <c r="C116" s="96"/>
      <c r="D116" s="136" t="str">
        <f>IF(D114&lt;&gt;0,D115/D114,"N/A")</f>
        <v>N/A</v>
      </c>
      <c r="E116" s="242"/>
      <c r="F116" s="242"/>
      <c r="G116" s="242"/>
      <c r="H116" s="136" t="str">
        <f>IF(H114&lt;&gt;0,H115/H114,"N/A")</f>
        <v>N/A</v>
      </c>
      <c r="I116" s="101"/>
      <c r="J116" s="101"/>
      <c r="K116" s="114"/>
      <c r="L116" s="112"/>
      <c r="M116" s="7"/>
      <c r="N116" s="96"/>
      <c r="O116" s="136" t="str">
        <f>IF(O114&lt;&gt;0,O115/O114,"N/A")</f>
        <v>N/A</v>
      </c>
      <c r="P116" s="242"/>
      <c r="Q116" s="242"/>
      <c r="R116" s="242"/>
      <c r="S116" s="136" t="str">
        <f>IF(S114&lt;&gt;0,S115/S114,"N/A")</f>
        <v>N/A</v>
      </c>
      <c r="T116" s="101"/>
      <c r="U116" s="101"/>
      <c r="V116" s="114"/>
    </row>
    <row r="117" spans="1:22" ht="12.75">
      <c r="A117" s="112"/>
      <c r="B117" s="7"/>
      <c r="C117" s="96"/>
      <c r="E117" s="242"/>
      <c r="F117" s="242"/>
      <c r="G117" s="242"/>
      <c r="H117" s="7"/>
      <c r="I117" s="99"/>
      <c r="J117" s="97"/>
      <c r="K117" s="113"/>
      <c r="L117" s="112"/>
      <c r="M117" s="7"/>
      <c r="N117" s="96"/>
      <c r="P117" s="242"/>
      <c r="Q117" s="242"/>
      <c r="R117" s="242"/>
      <c r="S117" s="7"/>
      <c r="T117" s="99"/>
      <c r="U117" s="97"/>
      <c r="V117" s="113"/>
    </row>
    <row r="118" spans="1:22" ht="12.75">
      <c r="A118" s="112"/>
      <c r="B118" s="7"/>
      <c r="C118" s="247"/>
      <c r="D118" s="248"/>
      <c r="E118" s="7"/>
      <c r="F118" s="103"/>
      <c r="G118" s="7"/>
      <c r="H118" s="7"/>
      <c r="I118" s="99"/>
      <c r="J118" s="97"/>
      <c r="K118" s="115"/>
      <c r="L118" s="112"/>
      <c r="M118" s="7"/>
      <c r="N118" s="247"/>
      <c r="O118" s="248"/>
      <c r="P118" s="7"/>
      <c r="Q118" s="103"/>
      <c r="R118" s="7"/>
      <c r="S118" s="7"/>
      <c r="T118" s="99"/>
      <c r="U118" s="97"/>
      <c r="V118" s="115"/>
    </row>
    <row r="119" spans="1:22" ht="12.75" customHeight="1">
      <c r="A119" s="135">
        <f>$A$12</f>
        <v>0</v>
      </c>
      <c r="B119" s="7"/>
      <c r="C119" s="98"/>
      <c r="D119" s="140">
        <f>$F$11</f>
        <v>0</v>
      </c>
      <c r="E119" s="7"/>
      <c r="F119" s="132">
        <f>$F$14</f>
        <v>0</v>
      </c>
      <c r="G119" s="7"/>
      <c r="H119" s="241">
        <f>IF(Data!$B$1="yes",InputSheet!$C$7,InputSheet!$C$6)</f>
        <v>0</v>
      </c>
      <c r="I119" s="241"/>
      <c r="J119" s="97"/>
      <c r="K119" s="147">
        <f>$K$13</f>
        <v>0</v>
      </c>
      <c r="L119" s="135">
        <f>$A$12</f>
        <v>0</v>
      </c>
      <c r="M119" s="7"/>
      <c r="N119" s="98"/>
      <c r="O119" s="140">
        <f>$F$11</f>
        <v>0</v>
      </c>
      <c r="P119" s="7"/>
      <c r="Q119" s="132">
        <f>$F$14</f>
        <v>0</v>
      </c>
      <c r="R119" s="7"/>
      <c r="S119" s="241">
        <f>IF(Data!$B$1="yes",InputSheet!$C$7,InputSheet!$C$6)</f>
        <v>0</v>
      </c>
      <c r="T119" s="241"/>
      <c r="U119" s="97"/>
      <c r="V119" s="147">
        <f>$K$13</f>
        <v>0</v>
      </c>
    </row>
    <row r="120" spans="1:22" ht="12.75">
      <c r="A120" s="134" t="e">
        <f>A32</f>
        <v>#DIV/0!</v>
      </c>
      <c r="B120" s="97"/>
      <c r="C120" s="99"/>
      <c r="D120" s="102" t="e">
        <f>F31</f>
        <v>#DIV/0!</v>
      </c>
      <c r="E120" s="96"/>
      <c r="F120" s="133" t="e">
        <f>F34</f>
        <v>#DIV/0!</v>
      </c>
      <c r="G120" s="7"/>
      <c r="H120" s="241"/>
      <c r="I120" s="241"/>
      <c r="J120" s="7"/>
      <c r="K120" s="138" t="e">
        <f>K33</f>
        <v>#DIV/0!</v>
      </c>
      <c r="L120" s="134" t="e">
        <f>L32</f>
        <v>#DIV/0!</v>
      </c>
      <c r="M120" s="97"/>
      <c r="N120" s="99"/>
      <c r="O120" s="102" t="e">
        <f>Q31</f>
        <v>#DIV/0!</v>
      </c>
      <c r="P120" s="96"/>
      <c r="Q120" s="133" t="e">
        <f>Q34</f>
        <v>#DIV/0!</v>
      </c>
      <c r="R120" s="7"/>
      <c r="S120" s="241"/>
      <c r="T120" s="241"/>
      <c r="U120" s="7"/>
      <c r="V120" s="138" t="e">
        <f>V33</f>
        <v>#DIV/0!</v>
      </c>
    </row>
    <row r="121" spans="1:22" ht="12.75">
      <c r="A121" s="136" t="str">
        <f>IF(A119&lt;&gt;0,A120/A119,"N/A")</f>
        <v>N/A</v>
      </c>
      <c r="B121" s="97"/>
      <c r="C121" s="99"/>
      <c r="D121" s="131" t="str">
        <f>IF(D119&lt;&gt;0,D120/D119,"N/A")</f>
        <v>N/A</v>
      </c>
      <c r="E121" s="7"/>
      <c r="F121" s="130" t="str">
        <f>IF(F119&lt;&gt;0,F120/F119,"N/A")</f>
        <v>N/A</v>
      </c>
      <c r="G121" s="131"/>
      <c r="H121" s="241"/>
      <c r="I121" s="241"/>
      <c r="J121" s="7"/>
      <c r="K121" s="139" t="str">
        <f>IF(K119&lt;&gt;0,K120/K119,"N/A")</f>
        <v>N/A</v>
      </c>
      <c r="L121" s="136" t="str">
        <f>IF(L119&lt;&gt;0,L120/L119,"N/A")</f>
        <v>N/A</v>
      </c>
      <c r="M121" s="97"/>
      <c r="N121" s="99"/>
      <c r="O121" s="131" t="str">
        <f>IF(O119&lt;&gt;0,O120/O119,"N/A")</f>
        <v>N/A</v>
      </c>
      <c r="P121" s="7"/>
      <c r="Q121" s="130" t="str">
        <f>IF(Q119&lt;&gt;0,Q120/Q119,"N/A")</f>
        <v>N/A</v>
      </c>
      <c r="R121" s="131"/>
      <c r="S121" s="241"/>
      <c r="T121" s="241"/>
      <c r="U121" s="7"/>
      <c r="V121" s="139" t="str">
        <f>IF(V119&lt;&gt;0,V120/V119,"N/A")</f>
        <v>N/A</v>
      </c>
    </row>
    <row r="122" spans="1:22" ht="12.75">
      <c r="A122" s="112"/>
      <c r="B122" s="97"/>
      <c r="C122" s="99"/>
      <c r="D122" s="7"/>
      <c r="E122" s="7"/>
      <c r="F122" s="7"/>
      <c r="G122" s="7"/>
      <c r="H122" s="7"/>
      <c r="I122" s="103"/>
      <c r="J122" s="7"/>
      <c r="K122" s="113"/>
      <c r="L122" s="112"/>
      <c r="M122" s="97"/>
      <c r="N122" s="99"/>
      <c r="O122" s="7"/>
      <c r="P122" s="7"/>
      <c r="Q122" s="7"/>
      <c r="R122" s="7"/>
      <c r="S122" s="7"/>
      <c r="T122" s="103"/>
      <c r="U122" s="7"/>
      <c r="V122" s="113"/>
    </row>
    <row r="123" spans="1:22" ht="12.75">
      <c r="A123" s="112"/>
      <c r="B123" s="7"/>
      <c r="C123" s="7"/>
      <c r="D123" s="7"/>
      <c r="E123" s="7"/>
      <c r="F123" s="7"/>
      <c r="G123" s="96"/>
      <c r="I123" s="7"/>
      <c r="J123" s="7"/>
      <c r="K123" s="113"/>
      <c r="L123" s="112"/>
      <c r="M123" s="7"/>
      <c r="N123" s="7"/>
      <c r="O123" s="7"/>
      <c r="P123" s="7"/>
      <c r="Q123" s="7"/>
      <c r="R123" s="96"/>
      <c r="T123" s="7"/>
      <c r="U123" s="7"/>
      <c r="V123" s="113"/>
    </row>
    <row r="124" spans="1:22" ht="12.75">
      <c r="A124" s="246"/>
      <c r="B124" s="243"/>
      <c r="C124" s="243"/>
      <c r="D124" s="106">
        <f>$E$17</f>
        <v>0</v>
      </c>
      <c r="E124" s="104"/>
      <c r="F124" s="7"/>
      <c r="G124" s="7"/>
      <c r="H124" s="106">
        <f>$I$15</f>
        <v>0</v>
      </c>
      <c r="I124" s="7"/>
      <c r="J124" s="7"/>
      <c r="K124" s="119"/>
      <c r="L124" s="246"/>
      <c r="M124" s="243"/>
      <c r="N124" s="243"/>
      <c r="O124" s="106">
        <f>$E$17</f>
        <v>0</v>
      </c>
      <c r="P124" s="104"/>
      <c r="Q124" s="7"/>
      <c r="R124" s="7"/>
      <c r="S124" s="106">
        <f>$I$15</f>
        <v>0</v>
      </c>
      <c r="T124" s="7"/>
      <c r="U124" s="7"/>
      <c r="V124" s="119"/>
    </row>
    <row r="125" spans="1:22" ht="12.75">
      <c r="A125" s="112"/>
      <c r="B125" s="7"/>
      <c r="C125" s="96"/>
      <c r="D125" s="141" t="e">
        <f>E37</f>
        <v>#DIV/0!</v>
      </c>
      <c r="E125" s="7"/>
      <c r="F125" s="99"/>
      <c r="G125" s="99"/>
      <c r="H125" s="141" t="e">
        <f>I35</f>
        <v>#DIV/0!</v>
      </c>
      <c r="I125" s="7"/>
      <c r="J125" s="7"/>
      <c r="K125" s="113"/>
      <c r="L125" s="112"/>
      <c r="M125" s="7"/>
      <c r="N125" s="96"/>
      <c r="O125" s="141" t="e">
        <f>P37</f>
        <v>#DIV/0!</v>
      </c>
      <c r="P125" s="7"/>
      <c r="Q125" s="99"/>
      <c r="R125" s="99"/>
      <c r="S125" s="141" t="e">
        <f>T35</f>
        <v>#DIV/0!</v>
      </c>
      <c r="T125" s="7"/>
      <c r="U125" s="7"/>
      <c r="V125" s="113"/>
    </row>
    <row r="126" spans="1:22" ht="12.75">
      <c r="A126" s="112"/>
      <c r="B126" s="7"/>
      <c r="C126" s="7"/>
      <c r="D126" s="136" t="str">
        <f>IF(D124&lt;&gt;0,D125/D124,"N/A")</f>
        <v>N/A</v>
      </c>
      <c r="E126" s="7"/>
      <c r="F126" s="132">
        <f>$E$21</f>
        <v>0</v>
      </c>
      <c r="G126" s="97"/>
      <c r="H126" s="136" t="str">
        <f>IF(H124&lt;&gt;0,H125/H124,"N/A")</f>
        <v>N/A</v>
      </c>
      <c r="I126" s="7"/>
      <c r="J126" s="98"/>
      <c r="K126" s="119"/>
      <c r="L126" s="112"/>
      <c r="M126" s="7"/>
      <c r="N126" s="7"/>
      <c r="O126" s="136" t="str">
        <f>IF(O124&lt;&gt;0,O125/O124,"N/A")</f>
        <v>N/A</v>
      </c>
      <c r="P126" s="7"/>
      <c r="Q126" s="132">
        <f>$E$21</f>
        <v>0</v>
      </c>
      <c r="R126" s="97"/>
      <c r="S126" s="136" t="str">
        <f>IF(S124&lt;&gt;0,S125/S124,"N/A")</f>
        <v>N/A</v>
      </c>
      <c r="T126" s="7"/>
      <c r="U126" s="98"/>
      <c r="V126" s="119"/>
    </row>
    <row r="127" spans="1:22" ht="12.75">
      <c r="A127" s="145" t="s">
        <v>164</v>
      </c>
      <c r="B127" s="144">
        <f>InputSheet!$I$25</f>
        <v>0</v>
      </c>
      <c r="C127" s="7"/>
      <c r="D127" s="7"/>
      <c r="E127" s="95"/>
      <c r="F127" s="133" t="e">
        <f>E41</f>
        <v>#DIV/0!</v>
      </c>
      <c r="G127" s="99"/>
      <c r="H127" s="98"/>
      <c r="I127" s="7"/>
      <c r="J127" s="7"/>
      <c r="K127" s="113"/>
      <c r="L127" s="145" t="s">
        <v>164</v>
      </c>
      <c r="M127" s="144">
        <f>InputSheet!$I$25</f>
        <v>0</v>
      </c>
      <c r="N127" s="7"/>
      <c r="O127" s="7"/>
      <c r="P127" s="95"/>
      <c r="Q127" s="133" t="e">
        <f>P41</f>
        <v>#DIV/0!</v>
      </c>
      <c r="R127" s="99"/>
      <c r="S127" s="98"/>
      <c r="T127" s="7"/>
      <c r="U127" s="7"/>
      <c r="V127" s="113"/>
    </row>
    <row r="128" spans="1:22" ht="12.75">
      <c r="A128" s="142" t="s">
        <v>164</v>
      </c>
      <c r="B128" s="107">
        <f>InputSheet!$I$27</f>
        <v>0</v>
      </c>
      <c r="C128" s="7"/>
      <c r="D128" s="7"/>
      <c r="E128" s="102"/>
      <c r="F128" s="131" t="str">
        <f>IF(F126&lt;&gt;0,F127/F126,"N/A")</f>
        <v>N/A</v>
      </c>
      <c r="H128" s="105"/>
      <c r="I128" s="105"/>
      <c r="J128" s="7"/>
      <c r="K128" s="113"/>
      <c r="L128" s="142" t="s">
        <v>164</v>
      </c>
      <c r="M128" s="107">
        <f>InputSheet!$I$28</f>
        <v>0</v>
      </c>
      <c r="N128" s="7"/>
      <c r="O128" s="7"/>
      <c r="P128" s="102"/>
      <c r="Q128" s="131" t="str">
        <f>IF(Q126&lt;&gt;0,Q127/Q126,"N/A")</f>
        <v>N/A</v>
      </c>
      <c r="S128" s="105"/>
      <c r="T128" s="105"/>
      <c r="U128" s="7"/>
      <c r="V128" s="113"/>
    </row>
    <row r="129" spans="1:22" ht="13.5" thickBot="1">
      <c r="A129" s="143" t="s">
        <v>165</v>
      </c>
      <c r="B129" s="146" t="s">
        <v>163</v>
      </c>
      <c r="C129" s="121"/>
      <c r="D129" s="121"/>
      <c r="E129" s="121"/>
      <c r="F129" s="121"/>
      <c r="G129" s="122"/>
      <c r="H129" s="121"/>
      <c r="I129" s="121"/>
      <c r="J129" s="121"/>
      <c r="K129" s="123"/>
      <c r="L129" s="143" t="s">
        <v>165</v>
      </c>
      <c r="M129" s="146" t="s">
        <v>163</v>
      </c>
      <c r="N129" s="121"/>
      <c r="O129" s="121"/>
      <c r="P129" s="121"/>
      <c r="Q129" s="121"/>
      <c r="R129" s="122"/>
      <c r="S129" s="121"/>
      <c r="T129" s="121"/>
      <c r="U129" s="121"/>
      <c r="V129" s="123"/>
    </row>
    <row r="131" spans="1:22" ht="20.25">
      <c r="A131" s="258" t="str">
        <f>"PROJECT TRAFFIC FOR "&amp;InputSheet!$C$6&amp;" AT "&amp;InputSheet!$C$7&amp;":  "&amp;InputSheet!$C$8&amp;" TO "&amp;InputSheet!$C$9</f>
        <v>PROJECT TRAFFIC FOR  AT :   TO </v>
      </c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</row>
    <row r="132" ht="13.5" thickBot="1"/>
    <row r="133" spans="1:22" ht="15.75">
      <c r="A133" s="255" t="str">
        <f>InputSheet!$I$25&amp;" ACTUAL TRAFFIC COMPARED TO "&amp;InputSheet!$I$25&amp;" DHV"</f>
        <v>0 ACTUAL TRAFFIC COMPARED TO 0 DHV</v>
      </c>
      <c r="B133" s="256"/>
      <c r="C133" s="256"/>
      <c r="D133" s="256"/>
      <c r="E133" s="256"/>
      <c r="F133" s="256"/>
      <c r="G133" s="256"/>
      <c r="H133" s="256"/>
      <c r="I133" s="256"/>
      <c r="J133" s="256"/>
      <c r="K133" s="257"/>
      <c r="L133" s="255" t="str">
        <f>InputSheet!$I$25&amp;" ACTUAL TRAFFIC COMPARED TO "&amp;InputSheet!$I$26&amp;" DHV"</f>
        <v>0 ACTUAL TRAFFIC COMPARED TO 0 DHV</v>
      </c>
      <c r="M133" s="256"/>
      <c r="N133" s="256"/>
      <c r="O133" s="256"/>
      <c r="P133" s="256"/>
      <c r="Q133" s="256"/>
      <c r="R133" s="256"/>
      <c r="S133" s="256"/>
      <c r="T133" s="256"/>
      <c r="U133" s="256"/>
      <c r="V133" s="257"/>
    </row>
    <row r="134" spans="1:22" ht="12.75">
      <c r="A134" s="112"/>
      <c r="B134" s="7"/>
      <c r="C134" s="7"/>
      <c r="D134" s="7"/>
      <c r="E134" s="7"/>
      <c r="F134" s="7"/>
      <c r="G134" s="7"/>
      <c r="H134" s="7"/>
      <c r="I134" s="7"/>
      <c r="J134" s="7"/>
      <c r="K134" s="113"/>
      <c r="L134" s="112"/>
      <c r="M134" s="7"/>
      <c r="N134" s="7"/>
      <c r="O134" s="7"/>
      <c r="P134" s="7"/>
      <c r="Q134" s="7"/>
      <c r="R134" s="7"/>
      <c r="S134" s="7"/>
      <c r="T134" s="7"/>
      <c r="U134" s="7"/>
      <c r="V134" s="113"/>
    </row>
    <row r="135" spans="1:22" ht="12.75">
      <c r="A135" s="224">
        <f>IF(Data!$B$1="no",InputSheet!$C$7,InputSheet!$C$6)</f>
        <v>0</v>
      </c>
      <c r="B135" s="222"/>
      <c r="C135" s="222"/>
      <c r="D135" s="222"/>
      <c r="E135" s="222"/>
      <c r="F135" s="249"/>
      <c r="G135" s="249"/>
      <c r="H135" s="7"/>
      <c r="I135" s="7"/>
      <c r="J135" s="7"/>
      <c r="K135" s="113"/>
      <c r="L135" s="224">
        <f>IF(Data!$B$1="no",InputSheet!$C$7,InputSheet!$C$6)</f>
        <v>0</v>
      </c>
      <c r="M135" s="222"/>
      <c r="N135" s="222"/>
      <c r="O135" s="222"/>
      <c r="P135" s="222"/>
      <c r="Q135" s="249"/>
      <c r="R135" s="249"/>
      <c r="S135" s="7"/>
      <c r="T135" s="7"/>
      <c r="U135" s="7"/>
      <c r="V135" s="113"/>
    </row>
    <row r="136" spans="1:22" ht="12.75">
      <c r="A136" s="112"/>
      <c r="B136" s="7"/>
      <c r="C136" s="7"/>
      <c r="D136" s="149">
        <f>-InputSheet!$E$75</f>
        <v>0</v>
      </c>
      <c r="E136" s="149">
        <f>-InputSheet!$E$74</f>
        <v>0</v>
      </c>
      <c r="F136" s="149">
        <f>-InputSheet!$E$73</f>
        <v>0</v>
      </c>
      <c r="G136" s="7"/>
      <c r="H136" s="7"/>
      <c r="I136" s="7"/>
      <c r="J136" s="7"/>
      <c r="K136" s="113"/>
      <c r="L136" s="112"/>
      <c r="M136" s="7"/>
      <c r="N136" s="7"/>
      <c r="O136" s="149">
        <f>-InputSheet!$E$75</f>
        <v>0</v>
      </c>
      <c r="P136" s="149">
        <f>-InputSheet!$E$74</f>
        <v>0</v>
      </c>
      <c r="Q136" s="149">
        <f>-InputSheet!$E$73</f>
        <v>0</v>
      </c>
      <c r="R136" s="7"/>
      <c r="S136" s="7"/>
      <c r="T136" s="7"/>
      <c r="U136" s="7"/>
      <c r="V136" s="113"/>
    </row>
    <row r="137" spans="1:22" ht="12.75">
      <c r="A137" s="112"/>
      <c r="B137" s="7"/>
      <c r="C137" s="96"/>
      <c r="D137" s="154">
        <f>D51</f>
        <v>0</v>
      </c>
      <c r="E137" s="154">
        <f>E51</f>
        <v>0</v>
      </c>
      <c r="F137" s="154">
        <f>F51</f>
        <v>0</v>
      </c>
      <c r="G137" s="7"/>
      <c r="H137" s="7"/>
      <c r="I137" s="98"/>
      <c r="J137" s="96"/>
      <c r="K137" s="113"/>
      <c r="L137" s="112"/>
      <c r="M137" s="7"/>
      <c r="N137" s="96"/>
      <c r="O137" s="154" t="e">
        <f>O51</f>
        <v>#DIV/0!</v>
      </c>
      <c r="P137" s="154" t="e">
        <f>P51</f>
        <v>#DIV/0!</v>
      </c>
      <c r="Q137" s="154" t="e">
        <f>Q51</f>
        <v>#DIV/0!</v>
      </c>
      <c r="R137" s="7"/>
      <c r="S137" s="7"/>
      <c r="T137" s="98"/>
      <c r="U137" s="96"/>
      <c r="V137" s="113"/>
    </row>
    <row r="138" spans="1:22" ht="12.75">
      <c r="A138" s="112"/>
      <c r="B138" s="7"/>
      <c r="C138" s="7"/>
      <c r="D138" s="151" t="str">
        <f>IF(D136&lt;&gt;0,-D137/D136,"N/A")</f>
        <v>N/A</v>
      </c>
      <c r="E138" s="151" t="str">
        <f>IF(E136&lt;&gt;0,-E137/E136,"N/A")</f>
        <v>N/A</v>
      </c>
      <c r="F138" s="151" t="str">
        <f>IF(F136&lt;&gt;0,-F137/F136,"N/A")</f>
        <v>N/A</v>
      </c>
      <c r="G138" s="7"/>
      <c r="H138" s="100"/>
      <c r="I138" s="225" t="str">
        <f>"    "&amp;IF(Data!$B$1="yes",InputSheet!$C$7,InputSheet!$C$6)</f>
        <v>    </v>
      </c>
      <c r="J138" s="225"/>
      <c r="K138" s="226"/>
      <c r="L138" s="112"/>
      <c r="M138" s="7"/>
      <c r="N138" s="7"/>
      <c r="O138" s="151" t="str">
        <f>IF(O136&lt;&gt;0,-O137/O136,"N/A")</f>
        <v>N/A</v>
      </c>
      <c r="P138" s="151" t="str">
        <f>IF(P136&lt;&gt;0,-P137/P136,"N/A")</f>
        <v>N/A</v>
      </c>
      <c r="Q138" s="151" t="str">
        <f>IF(Q136&lt;&gt;0,-Q137/Q136,"N/A")</f>
        <v>N/A</v>
      </c>
      <c r="R138" s="7"/>
      <c r="S138" s="100"/>
      <c r="T138" s="225" t="str">
        <f>"    "&amp;IF(Data!$B$1="yes",InputSheet!$C$7,InputSheet!$C$6)</f>
        <v>    </v>
      </c>
      <c r="U138" s="225"/>
      <c r="V138" s="226"/>
    </row>
    <row r="139" spans="1:22" ht="12.75">
      <c r="A139" s="112"/>
      <c r="B139" s="7"/>
      <c r="C139" s="96"/>
      <c r="D139" s="96"/>
      <c r="E139" s="98"/>
      <c r="F139" s="98"/>
      <c r="G139" s="7"/>
      <c r="H139" s="7"/>
      <c r="I139" s="225"/>
      <c r="J139" s="225"/>
      <c r="K139" s="226"/>
      <c r="L139" s="112"/>
      <c r="M139" s="7"/>
      <c r="N139" s="96"/>
      <c r="O139" s="96"/>
      <c r="P139" s="98"/>
      <c r="Q139" s="98"/>
      <c r="R139" s="7"/>
      <c r="S139" s="7"/>
      <c r="T139" s="225"/>
      <c r="U139" s="225"/>
      <c r="V139" s="226"/>
    </row>
    <row r="140" spans="1:22" ht="12.75">
      <c r="A140" s="112"/>
      <c r="B140" s="7"/>
      <c r="C140" s="96"/>
      <c r="D140" s="96"/>
      <c r="E140" s="98"/>
      <c r="F140" s="98"/>
      <c r="G140" s="98"/>
      <c r="H140" s="7"/>
      <c r="I140" s="152" t="str">
        <f>IF(K140&lt;&gt;0,-J140/K140,"N/A")</f>
        <v>N/A</v>
      </c>
      <c r="J140" s="154">
        <f>I53</f>
        <v>0</v>
      </c>
      <c r="K140" s="150">
        <f>-InputSheet!$E$71</f>
        <v>0</v>
      </c>
      <c r="L140" s="112"/>
      <c r="M140" s="7"/>
      <c r="N140" s="96"/>
      <c r="O140" s="96"/>
      <c r="P140" s="98"/>
      <c r="Q140" s="98"/>
      <c r="R140" s="98"/>
      <c r="S140" s="7"/>
      <c r="T140" s="152" t="str">
        <f>IF(V140&lt;&gt;0,-U140/V140,"N/A")</f>
        <v>N/A</v>
      </c>
      <c r="U140" s="154" t="e">
        <f>T53</f>
        <v>#DIV/0!</v>
      </c>
      <c r="V140" s="155">
        <f>-InputSheet!$E$71</f>
        <v>0</v>
      </c>
    </row>
    <row r="141" spans="1:22" ht="12.75">
      <c r="A141" s="112"/>
      <c r="B141" s="7"/>
      <c r="C141" s="247"/>
      <c r="D141" s="248"/>
      <c r="E141" s="7"/>
      <c r="F141" s="103"/>
      <c r="G141" s="7"/>
      <c r="H141" s="7"/>
      <c r="I141" s="152" t="str">
        <f>IF(K141&lt;&gt;0,-J141/K141,"N/A")</f>
        <v>N/A</v>
      </c>
      <c r="J141" s="154">
        <f>I54</f>
        <v>0</v>
      </c>
      <c r="K141" s="150">
        <f>-InputSheet!$E$70</f>
        <v>0</v>
      </c>
      <c r="L141" s="112"/>
      <c r="M141" s="7"/>
      <c r="N141" s="247"/>
      <c r="O141" s="248"/>
      <c r="P141" s="7"/>
      <c r="Q141" s="103"/>
      <c r="R141" s="7"/>
      <c r="S141" s="7"/>
      <c r="T141" s="152" t="str">
        <f>IF(V141&lt;&gt;0,-U141/V141,"N/A")</f>
        <v>N/A</v>
      </c>
      <c r="U141" s="154" t="e">
        <f>T54</f>
        <v>#DIV/0!</v>
      </c>
      <c r="V141" s="155">
        <f>-InputSheet!$E$70</f>
        <v>0</v>
      </c>
    </row>
    <row r="142" spans="1:22" ht="12.75">
      <c r="A142" s="116"/>
      <c r="B142" s="7"/>
      <c r="C142" s="98"/>
      <c r="D142" s="7"/>
      <c r="E142" s="7"/>
      <c r="F142" s="7"/>
      <c r="G142" s="7"/>
      <c r="H142" s="7"/>
      <c r="I142" s="152" t="str">
        <f>IF(K142&lt;&gt;0,-J142/K142,"N/A")</f>
        <v>N/A</v>
      </c>
      <c r="J142" s="154">
        <f>I55</f>
        <v>0</v>
      </c>
      <c r="K142" s="150">
        <f>-InputSheet!$E$69</f>
        <v>0</v>
      </c>
      <c r="L142" s="116"/>
      <c r="M142" s="7"/>
      <c r="N142" s="98"/>
      <c r="O142" s="7"/>
      <c r="P142" s="7"/>
      <c r="Q142" s="7"/>
      <c r="R142" s="7"/>
      <c r="S142" s="7"/>
      <c r="T142" s="152" t="str">
        <f>IF(V142&lt;&gt;0,-U142/V142,"N/A")</f>
        <v>N/A</v>
      </c>
      <c r="U142" s="154" t="e">
        <f>T55</f>
        <v>#DIV/0!</v>
      </c>
      <c r="V142" s="155">
        <f>-InputSheet!$E$69</f>
        <v>0</v>
      </c>
    </row>
    <row r="143" spans="1:22" ht="12.75">
      <c r="A143" s="176">
        <f>-InputSheet!$E$65</f>
        <v>0</v>
      </c>
      <c r="B143" s="153">
        <f>C56</f>
        <v>0</v>
      </c>
      <c r="C143" s="152" t="str">
        <f>IF(A143&lt;&gt;0,-B143/A143,"N/A")</f>
        <v>N/A</v>
      </c>
      <c r="D143" s="96"/>
      <c r="E143" s="96"/>
      <c r="F143" s="7"/>
      <c r="G143" s="7"/>
      <c r="H143" s="96"/>
      <c r="I143" s="7"/>
      <c r="J143" s="7"/>
      <c r="K143" s="118"/>
      <c r="L143" s="148">
        <f>-InputSheet!$E$65</f>
        <v>0</v>
      </c>
      <c r="M143" s="153" t="e">
        <f>N56</f>
        <v>#DIV/0!</v>
      </c>
      <c r="N143" s="152" t="str">
        <f>IF(L143&lt;&gt;0,-M143/L143,"N/A")</f>
        <v>N/A</v>
      </c>
      <c r="O143" s="96"/>
      <c r="P143" s="96"/>
      <c r="Q143" s="7"/>
      <c r="R143" s="7"/>
      <c r="S143" s="96"/>
      <c r="T143" s="7"/>
      <c r="U143" s="7"/>
      <c r="V143" s="118"/>
    </row>
    <row r="144" spans="1:22" ht="12.75">
      <c r="A144" s="176">
        <f>-InputSheet!$E$66</f>
        <v>0</v>
      </c>
      <c r="B144" s="153">
        <f>C57</f>
        <v>0</v>
      </c>
      <c r="C144" s="152" t="str">
        <f>IF(A144&lt;&gt;0,-B144/A144,"N/A")</f>
        <v>N/A</v>
      </c>
      <c r="D144" s="7"/>
      <c r="E144" s="7"/>
      <c r="F144" s="247"/>
      <c r="G144" s="248"/>
      <c r="H144" s="7"/>
      <c r="I144" s="7"/>
      <c r="J144" s="7"/>
      <c r="K144" s="113"/>
      <c r="L144" s="148">
        <f>-InputSheet!$E$66</f>
        <v>0</v>
      </c>
      <c r="M144" s="153" t="e">
        <f>N57</f>
        <v>#DIV/0!</v>
      </c>
      <c r="N144" s="152" t="str">
        <f>IF(L144&lt;&gt;0,-M144/L144,"N/A")</f>
        <v>N/A</v>
      </c>
      <c r="O144" s="7"/>
      <c r="P144" s="7"/>
      <c r="Q144" s="247"/>
      <c r="R144" s="248"/>
      <c r="S144" s="7"/>
      <c r="T144" s="7"/>
      <c r="U144" s="7"/>
      <c r="V144" s="113"/>
    </row>
    <row r="145" spans="1:22" ht="12.75">
      <c r="A145" s="176">
        <f>-InputSheet!$E$67</f>
        <v>0</v>
      </c>
      <c r="B145" s="153">
        <f>C58</f>
        <v>0</v>
      </c>
      <c r="C145" s="152" t="str">
        <f>IF(A145&lt;&gt;0,-B145/A145,"N/A")</f>
        <v>N/A</v>
      </c>
      <c r="D145" s="7"/>
      <c r="E145" s="7"/>
      <c r="F145" s="7"/>
      <c r="G145" s="7"/>
      <c r="H145" s="7"/>
      <c r="I145" s="103"/>
      <c r="J145" s="7"/>
      <c r="K145" s="113"/>
      <c r="L145" s="148">
        <f>-InputSheet!$E$67</f>
        <v>0</v>
      </c>
      <c r="M145" s="153" t="e">
        <f>N58</f>
        <v>#DIV/0!</v>
      </c>
      <c r="N145" s="152" t="str">
        <f>IF(L145&lt;&gt;0,-M145/L145,"N/A")</f>
        <v>N/A</v>
      </c>
      <c r="O145" s="7"/>
      <c r="P145" s="7"/>
      <c r="Q145" s="7"/>
      <c r="R145" s="7"/>
      <c r="S145" s="7"/>
      <c r="T145" s="103"/>
      <c r="U145" s="7"/>
      <c r="V145" s="113"/>
    </row>
    <row r="146" spans="1:22" ht="12.75">
      <c r="A146" s="112"/>
      <c r="B146" s="7"/>
      <c r="C146" s="7"/>
      <c r="D146" s="7"/>
      <c r="E146" s="7"/>
      <c r="I146" s="7"/>
      <c r="J146" s="7"/>
      <c r="K146" s="113"/>
      <c r="L146" s="112"/>
      <c r="M146" s="7"/>
      <c r="N146" s="7"/>
      <c r="O146" s="7"/>
      <c r="P146" s="7"/>
      <c r="T146" s="7"/>
      <c r="U146" s="7"/>
      <c r="V146" s="113"/>
    </row>
    <row r="147" spans="1:22" ht="12.75">
      <c r="A147" s="224">
        <f>IF(Data!$B$1="yes",InputSheet!$C$7,InputSheet!$C$6)</f>
        <v>0</v>
      </c>
      <c r="B147" s="222"/>
      <c r="C147" s="222"/>
      <c r="D147" s="222"/>
      <c r="E147" s="222"/>
      <c r="F147" s="7"/>
      <c r="G147" s="7"/>
      <c r="H147" s="7"/>
      <c r="I147" s="7"/>
      <c r="J147" s="7"/>
      <c r="K147" s="119"/>
      <c r="L147" s="224">
        <f>IF(Data!$B$1="yes",InputSheet!$C$7,InputSheet!$C$6)</f>
        <v>0</v>
      </c>
      <c r="M147" s="222"/>
      <c r="N147" s="222"/>
      <c r="O147" s="222"/>
      <c r="P147" s="222"/>
      <c r="Q147" s="7"/>
      <c r="R147" s="7"/>
      <c r="S147" s="7"/>
      <c r="T147" s="7"/>
      <c r="U147" s="7"/>
      <c r="V147" s="119"/>
    </row>
    <row r="148" spans="1:22" ht="12.75">
      <c r="A148" s="112"/>
      <c r="B148" s="7"/>
      <c r="C148" s="96"/>
      <c r="D148" s="96"/>
      <c r="E148" s="7"/>
      <c r="F148" s="151" t="str">
        <f>IF(F150&lt;&gt;0,-F149/F150,"N/A")</f>
        <v>N/A</v>
      </c>
      <c r="G148" s="151" t="str">
        <f>IF(G150&lt;&gt;0,-G149/G150,"N/A")</f>
        <v>N/A</v>
      </c>
      <c r="H148" s="151" t="str">
        <f>IF(H150&lt;&gt;0,-H149/H150,"N/A")</f>
        <v>N/A</v>
      </c>
      <c r="I148" s="7"/>
      <c r="J148" s="7"/>
      <c r="K148" s="113"/>
      <c r="L148" s="112"/>
      <c r="M148" s="7"/>
      <c r="N148" s="96"/>
      <c r="O148" s="96"/>
      <c r="P148" s="7"/>
      <c r="Q148" s="151" t="str">
        <f>IF(Q150&lt;&gt;0,-Q149/Q150,"N/A")</f>
        <v>N/A</v>
      </c>
      <c r="R148" s="151" t="str">
        <f>IF(R150&lt;&gt;0,-R149/R150,"N/A")</f>
        <v>N/A</v>
      </c>
      <c r="S148" s="151" t="str">
        <f>IF(S150&lt;&gt;0,-S149/S150,"N/A")</f>
        <v>N/A</v>
      </c>
      <c r="T148" s="7"/>
      <c r="U148" s="7"/>
      <c r="V148" s="113"/>
    </row>
    <row r="149" spans="1:22" ht="12.75">
      <c r="A149" s="112"/>
      <c r="B149" s="7"/>
      <c r="C149" s="7"/>
      <c r="D149" s="7"/>
      <c r="E149" s="7"/>
      <c r="F149" s="154">
        <f>F61</f>
        <v>0</v>
      </c>
      <c r="G149" s="154">
        <f>G61</f>
        <v>0</v>
      </c>
      <c r="H149" s="154">
        <f>H61</f>
        <v>0</v>
      </c>
      <c r="I149" s="7"/>
      <c r="J149" s="98"/>
      <c r="K149" s="119"/>
      <c r="L149" s="112"/>
      <c r="M149" s="7"/>
      <c r="N149" s="7"/>
      <c r="O149" s="7"/>
      <c r="P149" s="7"/>
      <c r="Q149" s="154" t="e">
        <f>Q61</f>
        <v>#DIV/0!</v>
      </c>
      <c r="R149" s="154" t="e">
        <f>R61</f>
        <v>#DIV/0!</v>
      </c>
      <c r="S149" s="154" t="e">
        <f>S61</f>
        <v>#DIV/0!</v>
      </c>
      <c r="T149" s="7"/>
      <c r="U149" s="98"/>
      <c r="V149" s="119"/>
    </row>
    <row r="150" spans="1:22" ht="12.75">
      <c r="A150" s="145" t="s">
        <v>166</v>
      </c>
      <c r="B150" s="253" t="str">
        <f>"Actual "&amp;InputSheet!$I$25&amp;" Traffic"</f>
        <v>Actual 0 Traffic</v>
      </c>
      <c r="C150" s="253"/>
      <c r="D150" s="254"/>
      <c r="E150" s="95"/>
      <c r="F150" s="149">
        <f>-InputSheet!$E$77</f>
        <v>0</v>
      </c>
      <c r="G150" s="149">
        <f>-InputSheet!$E$78</f>
        <v>0</v>
      </c>
      <c r="H150" s="149">
        <f>-InputSheet!$E$79</f>
        <v>0</v>
      </c>
      <c r="I150" s="7"/>
      <c r="J150" s="7"/>
      <c r="K150" s="113"/>
      <c r="L150" s="145" t="s">
        <v>166</v>
      </c>
      <c r="M150" s="253" t="str">
        <f>"Actual "&amp;InputSheet!$I$25&amp;" Traffic"</f>
        <v>Actual 0 Traffic</v>
      </c>
      <c r="N150" s="253"/>
      <c r="O150" s="254"/>
      <c r="P150" s="95"/>
      <c r="Q150" s="149">
        <f>-InputSheet!$E$77</f>
        <v>0</v>
      </c>
      <c r="R150" s="149">
        <f>-InputSheet!$E$78</f>
        <v>0</v>
      </c>
      <c r="S150" s="149">
        <f>-InputSheet!$E$79</f>
        <v>0</v>
      </c>
      <c r="T150" s="7"/>
      <c r="U150" s="7"/>
      <c r="V150" s="113"/>
    </row>
    <row r="151" spans="1:22" ht="12.75">
      <c r="A151" s="142" t="s">
        <v>167</v>
      </c>
      <c r="B151" s="252" t="str">
        <f>"Calculated "&amp;InputSheet!$I$25&amp;" DHV"</f>
        <v>Calculated 0 DHV</v>
      </c>
      <c r="C151" s="252"/>
      <c r="D151" s="252"/>
      <c r="E151" s="247"/>
      <c r="F151" s="249"/>
      <c r="G151" s="222">
        <f>IF(Data!$B$1="no",InputSheet!$C$7,InputSheet!$C$6)</f>
        <v>0</v>
      </c>
      <c r="H151" s="222"/>
      <c r="I151" s="222"/>
      <c r="J151" s="222"/>
      <c r="K151" s="223"/>
      <c r="L151" s="142" t="s">
        <v>167</v>
      </c>
      <c r="M151" s="252" t="str">
        <f>"Calculated "&amp;InputSheet!$I$26&amp;" DHV"</f>
        <v>Calculated 0 DHV</v>
      </c>
      <c r="N151" s="252"/>
      <c r="O151" s="252"/>
      <c r="P151" s="247"/>
      <c r="Q151" s="249"/>
      <c r="R151" s="222">
        <f>IF(Data!$B$1="no",InputSheet!$C$7,InputSheet!$C$6)</f>
        <v>0</v>
      </c>
      <c r="S151" s="222"/>
      <c r="T151" s="222"/>
      <c r="U151" s="222"/>
      <c r="V151" s="223"/>
    </row>
    <row r="152" spans="1:22" ht="13.5" thickBot="1">
      <c r="A152" s="143" t="s">
        <v>165</v>
      </c>
      <c r="B152" s="250" t="s">
        <v>163</v>
      </c>
      <c r="C152" s="250"/>
      <c r="D152" s="251"/>
      <c r="E152" s="121"/>
      <c r="F152" s="121"/>
      <c r="G152" s="122"/>
      <c r="H152" s="121"/>
      <c r="I152" s="121"/>
      <c r="J152" s="121"/>
      <c r="K152" s="123"/>
      <c r="L152" s="143" t="s">
        <v>165</v>
      </c>
      <c r="M152" s="250" t="s">
        <v>163</v>
      </c>
      <c r="N152" s="250"/>
      <c r="O152" s="251"/>
      <c r="P152" s="121"/>
      <c r="Q152" s="121"/>
      <c r="R152" s="122"/>
      <c r="S152" s="121"/>
      <c r="T152" s="121"/>
      <c r="U152" s="121"/>
      <c r="V152" s="123"/>
    </row>
    <row r="153" spans="1:22" ht="15.75">
      <c r="A153" s="255" t="str">
        <f>InputSheet!$I$25&amp;" ACTUAL TRAFFIC COMPARED TO "&amp;InputSheet!$I$27&amp;" DHV"</f>
        <v>0 ACTUAL TRAFFIC COMPARED TO 0 DHV</v>
      </c>
      <c r="B153" s="256"/>
      <c r="C153" s="256"/>
      <c r="D153" s="256"/>
      <c r="E153" s="256"/>
      <c r="F153" s="256"/>
      <c r="G153" s="256"/>
      <c r="H153" s="256"/>
      <c r="I153" s="256"/>
      <c r="J153" s="256"/>
      <c r="K153" s="257"/>
      <c r="L153" s="255" t="str">
        <f>InputSheet!$I$25&amp;" ACTUAL TRAFFIC COMPARED TO "&amp;InputSheet!$I$28&amp;" DHV"</f>
        <v>0 ACTUAL TRAFFIC COMPARED TO 0 DHV</v>
      </c>
      <c r="M153" s="256"/>
      <c r="N153" s="256"/>
      <c r="O153" s="256"/>
      <c r="P153" s="256"/>
      <c r="Q153" s="256"/>
      <c r="R153" s="256"/>
      <c r="S153" s="256"/>
      <c r="T153" s="256"/>
      <c r="U153" s="256"/>
      <c r="V153" s="257"/>
    </row>
    <row r="154" spans="1:22" ht="12.75">
      <c r="A154" s="112"/>
      <c r="B154" s="7"/>
      <c r="C154" s="7"/>
      <c r="D154" s="7"/>
      <c r="E154" s="7"/>
      <c r="F154" s="7"/>
      <c r="G154" s="7"/>
      <c r="H154" s="7"/>
      <c r="I154" s="7"/>
      <c r="J154" s="7"/>
      <c r="K154" s="113"/>
      <c r="L154" s="112"/>
      <c r="M154" s="7"/>
      <c r="N154" s="7"/>
      <c r="O154" s="7"/>
      <c r="P154" s="7"/>
      <c r="Q154" s="7"/>
      <c r="R154" s="7"/>
      <c r="S154" s="7"/>
      <c r="T154" s="7"/>
      <c r="U154" s="7"/>
      <c r="V154" s="113"/>
    </row>
    <row r="155" spans="1:22" ht="12.75">
      <c r="A155" s="224">
        <f>IF(Data!$B$1="no",InputSheet!$C$7,InputSheet!$C$6)</f>
        <v>0</v>
      </c>
      <c r="B155" s="222"/>
      <c r="C155" s="222"/>
      <c r="D155" s="222"/>
      <c r="E155" s="222"/>
      <c r="F155" s="249"/>
      <c r="G155" s="249"/>
      <c r="H155" s="7"/>
      <c r="I155" s="7"/>
      <c r="J155" s="7"/>
      <c r="K155" s="113"/>
      <c r="L155" s="224">
        <f>IF(Data!$B$1="no",InputSheet!$C$7,InputSheet!$C$6)</f>
        <v>0</v>
      </c>
      <c r="M155" s="222"/>
      <c r="N155" s="222"/>
      <c r="O155" s="222"/>
      <c r="P155" s="222"/>
      <c r="Q155" s="249"/>
      <c r="R155" s="249"/>
      <c r="S155" s="7"/>
      <c r="T155" s="7"/>
      <c r="U155" s="7"/>
      <c r="V155" s="113"/>
    </row>
    <row r="156" spans="1:22" ht="12.75">
      <c r="A156" s="112"/>
      <c r="B156" s="7"/>
      <c r="C156" s="7"/>
      <c r="D156" s="149">
        <f>-InputSheet!$E$75</f>
        <v>0</v>
      </c>
      <c r="E156" s="149">
        <f>-InputSheet!$E$74</f>
        <v>0</v>
      </c>
      <c r="F156" s="149">
        <f>-InputSheet!$E$73</f>
        <v>0</v>
      </c>
      <c r="G156" s="7"/>
      <c r="H156" s="7"/>
      <c r="I156" s="7"/>
      <c r="J156" s="7"/>
      <c r="K156" s="113"/>
      <c r="L156" s="112"/>
      <c r="M156" s="7"/>
      <c r="N156" s="7"/>
      <c r="O156" s="149">
        <f>-InputSheet!$E$75</f>
        <v>0</v>
      </c>
      <c r="P156" s="149">
        <f>-InputSheet!$E$74</f>
        <v>0</v>
      </c>
      <c r="Q156" s="149">
        <f>-InputSheet!$E$73</f>
        <v>0</v>
      </c>
      <c r="R156" s="7"/>
      <c r="S156" s="7"/>
      <c r="T156" s="7"/>
      <c r="U156" s="7"/>
      <c r="V156" s="113"/>
    </row>
    <row r="157" spans="1:22" ht="12.75">
      <c r="A157" s="112"/>
      <c r="B157" s="7"/>
      <c r="C157" s="96"/>
      <c r="D157" s="154" t="e">
        <f>D71</f>
        <v>#DIV/0!</v>
      </c>
      <c r="E157" s="154" t="e">
        <f>E71</f>
        <v>#DIV/0!</v>
      </c>
      <c r="F157" s="154" t="e">
        <f>F71</f>
        <v>#DIV/0!</v>
      </c>
      <c r="G157" s="7"/>
      <c r="H157" s="7"/>
      <c r="I157" s="98"/>
      <c r="J157" s="96"/>
      <c r="K157" s="113"/>
      <c r="L157" s="112"/>
      <c r="M157" s="7"/>
      <c r="N157" s="96"/>
      <c r="O157" s="154" t="e">
        <f>O71</f>
        <v>#DIV/0!</v>
      </c>
      <c r="P157" s="154" t="e">
        <f>P71</f>
        <v>#DIV/0!</v>
      </c>
      <c r="Q157" s="154" t="e">
        <f>Q71</f>
        <v>#DIV/0!</v>
      </c>
      <c r="R157" s="7"/>
      <c r="S157" s="7"/>
      <c r="T157" s="98"/>
      <c r="U157" s="96"/>
      <c r="V157" s="113"/>
    </row>
    <row r="158" spans="1:22" ht="12.75">
      <c r="A158" s="112"/>
      <c r="B158" s="7"/>
      <c r="C158" s="7"/>
      <c r="D158" s="151" t="str">
        <f>IF(D156&lt;&gt;0,-D157/D156,"N/A")</f>
        <v>N/A</v>
      </c>
      <c r="E158" s="151" t="str">
        <f>IF(E156&lt;&gt;0,-E157/E156,"N/A")</f>
        <v>N/A</v>
      </c>
      <c r="F158" s="151" t="str">
        <f>IF(F156&lt;&gt;0,-F157/F156,"N/A")</f>
        <v>N/A</v>
      </c>
      <c r="G158" s="7"/>
      <c r="H158" s="100"/>
      <c r="I158" s="225" t="str">
        <f>"    "&amp;IF(Data!$B$1="yes",InputSheet!$C$7,InputSheet!$C$6)</f>
        <v>    </v>
      </c>
      <c r="J158" s="225"/>
      <c r="K158" s="226"/>
      <c r="L158" s="112"/>
      <c r="M158" s="7"/>
      <c r="N158" s="7"/>
      <c r="O158" s="151" t="str">
        <f>IF(O156&lt;&gt;0,-O157/O156,"N/A")</f>
        <v>N/A</v>
      </c>
      <c r="P158" s="151" t="str">
        <f>IF(P156&lt;&gt;0,-P157/P156,"N/A")</f>
        <v>N/A</v>
      </c>
      <c r="Q158" s="151" t="str">
        <f>IF(Q156&lt;&gt;0,-Q157/Q156,"N/A")</f>
        <v>N/A</v>
      </c>
      <c r="R158" s="7"/>
      <c r="S158" s="100"/>
      <c r="T158" s="225" t="str">
        <f>"    "&amp;IF(Data!$B$1="yes",InputSheet!$C$7,InputSheet!$C$6)</f>
        <v>    </v>
      </c>
      <c r="U158" s="225"/>
      <c r="V158" s="226"/>
    </row>
    <row r="159" spans="1:22" ht="12.75">
      <c r="A159" s="112"/>
      <c r="B159" s="7"/>
      <c r="C159" s="96"/>
      <c r="D159" s="96"/>
      <c r="E159" s="98"/>
      <c r="F159" s="98"/>
      <c r="G159" s="7"/>
      <c r="H159" s="7"/>
      <c r="I159" s="225"/>
      <c r="J159" s="225"/>
      <c r="K159" s="226"/>
      <c r="L159" s="112"/>
      <c r="M159" s="7"/>
      <c r="N159" s="96"/>
      <c r="O159" s="96"/>
      <c r="P159" s="98"/>
      <c r="Q159" s="98"/>
      <c r="R159" s="7"/>
      <c r="S159" s="7"/>
      <c r="T159" s="225"/>
      <c r="U159" s="225"/>
      <c r="V159" s="226"/>
    </row>
    <row r="160" spans="1:22" ht="12.75">
      <c r="A160" s="112"/>
      <c r="B160" s="7"/>
      <c r="C160" s="96"/>
      <c r="D160" s="96"/>
      <c r="E160" s="98"/>
      <c r="F160" s="98"/>
      <c r="G160" s="98"/>
      <c r="H160" s="7"/>
      <c r="I160" s="152" t="str">
        <f>IF(K160&lt;&gt;0,-J160/K160,"N/A")</f>
        <v>N/A</v>
      </c>
      <c r="J160" s="154" t="e">
        <f>I73</f>
        <v>#DIV/0!</v>
      </c>
      <c r="K160" s="150">
        <f>-InputSheet!$E$71</f>
        <v>0</v>
      </c>
      <c r="L160" s="112"/>
      <c r="M160" s="7"/>
      <c r="N160" s="96"/>
      <c r="O160" s="96"/>
      <c r="P160" s="98"/>
      <c r="Q160" s="98"/>
      <c r="R160" s="98"/>
      <c r="S160" s="7"/>
      <c r="T160" s="152" t="str">
        <f>IF(V160&lt;&gt;0,-U160/V160,"N/A")</f>
        <v>N/A</v>
      </c>
      <c r="U160" s="154" t="e">
        <f>T73</f>
        <v>#DIV/0!</v>
      </c>
      <c r="V160" s="155">
        <f>-InputSheet!$E$71</f>
        <v>0</v>
      </c>
    </row>
    <row r="161" spans="1:22" ht="12.75">
      <c r="A161" s="112"/>
      <c r="B161" s="7"/>
      <c r="C161" s="247"/>
      <c r="D161" s="248"/>
      <c r="E161" s="7"/>
      <c r="F161" s="103"/>
      <c r="G161" s="7"/>
      <c r="H161" s="7"/>
      <c r="I161" s="152" t="str">
        <f>IF(K161&lt;&gt;0,-J161/K161,"N/A")</f>
        <v>N/A</v>
      </c>
      <c r="J161" s="154" t="e">
        <f>I74</f>
        <v>#DIV/0!</v>
      </c>
      <c r="K161" s="150">
        <f>-InputSheet!$E$70</f>
        <v>0</v>
      </c>
      <c r="L161" s="112"/>
      <c r="M161" s="7"/>
      <c r="N161" s="247"/>
      <c r="O161" s="248"/>
      <c r="P161" s="7"/>
      <c r="Q161" s="103"/>
      <c r="R161" s="7"/>
      <c r="S161" s="7"/>
      <c r="T161" s="152" t="str">
        <f>IF(V161&lt;&gt;0,-U161/V161,"N/A")</f>
        <v>N/A</v>
      </c>
      <c r="U161" s="154" t="e">
        <f>T74</f>
        <v>#DIV/0!</v>
      </c>
      <c r="V161" s="155">
        <f>-InputSheet!$E$70</f>
        <v>0</v>
      </c>
    </row>
    <row r="162" spans="1:22" ht="12.75">
      <c r="A162" s="116"/>
      <c r="B162" s="7"/>
      <c r="C162" s="98"/>
      <c r="D162" s="7"/>
      <c r="E162" s="7"/>
      <c r="F162" s="7"/>
      <c r="G162" s="7"/>
      <c r="H162" s="7"/>
      <c r="I162" s="152" t="str">
        <f>IF(K162&lt;&gt;0,-J162/K162,"N/A")</f>
        <v>N/A</v>
      </c>
      <c r="J162" s="154" t="e">
        <f>I75</f>
        <v>#DIV/0!</v>
      </c>
      <c r="K162" s="150">
        <f>-InputSheet!$E$69</f>
        <v>0</v>
      </c>
      <c r="L162" s="116"/>
      <c r="M162" s="7"/>
      <c r="N162" s="98"/>
      <c r="O162" s="7"/>
      <c r="P162" s="7"/>
      <c r="Q162" s="7"/>
      <c r="R162" s="7"/>
      <c r="S162" s="7"/>
      <c r="T162" s="152" t="str">
        <f>IF(V162&lt;&gt;0,-U162/V162,"N/A")</f>
        <v>N/A</v>
      </c>
      <c r="U162" s="154" t="e">
        <f>T75</f>
        <v>#DIV/0!</v>
      </c>
      <c r="V162" s="155">
        <f>-InputSheet!$E$69</f>
        <v>0</v>
      </c>
    </row>
    <row r="163" spans="1:22" ht="12.75">
      <c r="A163" s="176">
        <f>-InputSheet!$E$65</f>
        <v>0</v>
      </c>
      <c r="B163" s="153" t="e">
        <f>C76</f>
        <v>#DIV/0!</v>
      </c>
      <c r="C163" s="152" t="str">
        <f>IF(A163&lt;&gt;0,-B163/A163,"N/A")</f>
        <v>N/A</v>
      </c>
      <c r="D163" s="96"/>
      <c r="E163" s="96"/>
      <c r="F163" s="7"/>
      <c r="G163" s="7"/>
      <c r="H163" s="96"/>
      <c r="I163" s="7"/>
      <c r="J163" s="7"/>
      <c r="K163" s="118"/>
      <c r="L163" s="148">
        <f>-InputSheet!$E$65</f>
        <v>0</v>
      </c>
      <c r="M163" s="153" t="e">
        <f>N76</f>
        <v>#DIV/0!</v>
      </c>
      <c r="N163" s="152" t="str">
        <f>IF(L163&lt;&gt;0,-M163/L163,"N/A")</f>
        <v>N/A</v>
      </c>
      <c r="O163" s="96"/>
      <c r="P163" s="96"/>
      <c r="Q163" s="7"/>
      <c r="R163" s="7"/>
      <c r="S163" s="96"/>
      <c r="T163" s="7"/>
      <c r="U163" s="7"/>
      <c r="V163" s="118"/>
    </row>
    <row r="164" spans="1:22" ht="12.75">
      <c r="A164" s="176">
        <f>-InputSheet!$E$66</f>
        <v>0</v>
      </c>
      <c r="B164" s="153" t="e">
        <f>C77</f>
        <v>#DIV/0!</v>
      </c>
      <c r="C164" s="152" t="str">
        <f>IF(A164&lt;&gt;0,-B164/A164,"N/A")</f>
        <v>N/A</v>
      </c>
      <c r="D164" s="7"/>
      <c r="E164" s="7"/>
      <c r="F164" s="247"/>
      <c r="G164" s="248"/>
      <c r="H164" s="7"/>
      <c r="I164" s="7"/>
      <c r="J164" s="7"/>
      <c r="K164" s="113"/>
      <c r="L164" s="148">
        <f>-InputSheet!$E$66</f>
        <v>0</v>
      </c>
      <c r="M164" s="153" t="e">
        <f>N77</f>
        <v>#DIV/0!</v>
      </c>
      <c r="N164" s="152" t="str">
        <f>IF(L164&lt;&gt;0,-M164/L164,"N/A")</f>
        <v>N/A</v>
      </c>
      <c r="O164" s="7"/>
      <c r="P164" s="7"/>
      <c r="Q164" s="247"/>
      <c r="R164" s="248"/>
      <c r="S164" s="7"/>
      <c r="T164" s="7"/>
      <c r="U164" s="7"/>
      <c r="V164" s="113"/>
    </row>
    <row r="165" spans="1:22" ht="12.75">
      <c r="A165" s="176">
        <f>-InputSheet!$E$67</f>
        <v>0</v>
      </c>
      <c r="B165" s="153" t="e">
        <f>C78</f>
        <v>#DIV/0!</v>
      </c>
      <c r="C165" s="152" t="str">
        <f>IF(A165&lt;&gt;0,-B165/A165,"N/A")</f>
        <v>N/A</v>
      </c>
      <c r="D165" s="7"/>
      <c r="E165" s="7"/>
      <c r="F165" s="7"/>
      <c r="G165" s="7"/>
      <c r="H165" s="7"/>
      <c r="I165" s="103"/>
      <c r="J165" s="7"/>
      <c r="K165" s="113"/>
      <c r="L165" s="148">
        <f>-InputSheet!$E$67</f>
        <v>0</v>
      </c>
      <c r="M165" s="153" t="e">
        <f>N78</f>
        <v>#DIV/0!</v>
      </c>
      <c r="N165" s="152" t="str">
        <f>IF(L165&lt;&gt;0,-M165/L165,"N/A")</f>
        <v>N/A</v>
      </c>
      <c r="O165" s="7"/>
      <c r="P165" s="7"/>
      <c r="Q165" s="7"/>
      <c r="R165" s="7"/>
      <c r="S165" s="7"/>
      <c r="T165" s="103"/>
      <c r="U165" s="7"/>
      <c r="V165" s="113"/>
    </row>
    <row r="166" spans="1:22" ht="12.75">
      <c r="A166" s="112"/>
      <c r="B166" s="7"/>
      <c r="C166" s="7"/>
      <c r="D166" s="7"/>
      <c r="E166" s="7"/>
      <c r="I166" s="7"/>
      <c r="J166" s="7"/>
      <c r="K166" s="113"/>
      <c r="L166" s="112"/>
      <c r="M166" s="7"/>
      <c r="N166" s="7"/>
      <c r="O166" s="7"/>
      <c r="P166" s="7"/>
      <c r="T166" s="7"/>
      <c r="U166" s="7"/>
      <c r="V166" s="113"/>
    </row>
    <row r="167" spans="1:22" ht="12.75">
      <c r="A167" s="224">
        <f>IF(Data!$B$1="yes",InputSheet!$C$7,InputSheet!$C$6)</f>
        <v>0</v>
      </c>
      <c r="B167" s="222"/>
      <c r="C167" s="222"/>
      <c r="D167" s="222"/>
      <c r="E167" s="222"/>
      <c r="F167" s="7"/>
      <c r="G167" s="7"/>
      <c r="H167" s="7"/>
      <c r="I167" s="7"/>
      <c r="J167" s="7"/>
      <c r="K167" s="119"/>
      <c r="L167" s="224">
        <f>IF(Data!$B$1="yes",InputSheet!$C$7,InputSheet!$C$6)</f>
        <v>0</v>
      </c>
      <c r="M167" s="222"/>
      <c r="N167" s="222"/>
      <c r="O167" s="222"/>
      <c r="P167" s="222"/>
      <c r="Q167" s="7"/>
      <c r="R167" s="7"/>
      <c r="S167" s="7"/>
      <c r="T167" s="7"/>
      <c r="U167" s="7"/>
      <c r="V167" s="119"/>
    </row>
    <row r="168" spans="1:22" ht="12.75">
      <c r="A168" s="112"/>
      <c r="B168" s="7"/>
      <c r="C168" s="96"/>
      <c r="D168" s="96"/>
      <c r="E168" s="7"/>
      <c r="F168" s="151" t="str">
        <f>IF(F170&lt;&gt;0,-F169/F170,"N/A")</f>
        <v>N/A</v>
      </c>
      <c r="G168" s="151" t="str">
        <f>IF(G170&lt;&gt;0,-G169/G170,"N/A")</f>
        <v>N/A</v>
      </c>
      <c r="H168" s="151" t="str">
        <f>IF(H170&lt;&gt;0,-H169/H170,"N/A")</f>
        <v>N/A</v>
      </c>
      <c r="I168" s="7"/>
      <c r="J168" s="7"/>
      <c r="K168" s="113"/>
      <c r="L168" s="112"/>
      <c r="M168" s="7"/>
      <c r="N168" s="96"/>
      <c r="O168" s="96"/>
      <c r="P168" s="7"/>
      <c r="Q168" s="151" t="str">
        <f>IF(Q170&lt;&gt;0,-Q169/Q170,"N/A")</f>
        <v>N/A</v>
      </c>
      <c r="R168" s="151" t="str">
        <f>IF(R170&lt;&gt;0,-R169/R170,"N/A")</f>
        <v>N/A</v>
      </c>
      <c r="S168" s="151" t="str">
        <f>IF(S170&lt;&gt;0,-S169/S170,"N/A")</f>
        <v>N/A</v>
      </c>
      <c r="T168" s="7"/>
      <c r="U168" s="7"/>
      <c r="V168" s="113"/>
    </row>
    <row r="169" spans="1:22" ht="12.75">
      <c r="A169" s="112"/>
      <c r="B169" s="7"/>
      <c r="C169" s="7"/>
      <c r="D169" s="7"/>
      <c r="E169" s="7"/>
      <c r="F169" s="154" t="e">
        <f>F81</f>
        <v>#DIV/0!</v>
      </c>
      <c r="G169" s="154" t="e">
        <f>G81</f>
        <v>#DIV/0!</v>
      </c>
      <c r="H169" s="154" t="e">
        <f>H81</f>
        <v>#DIV/0!</v>
      </c>
      <c r="I169" s="7"/>
      <c r="J169" s="98"/>
      <c r="K169" s="119"/>
      <c r="L169" s="112"/>
      <c r="M169" s="7"/>
      <c r="N169" s="7"/>
      <c r="O169" s="7"/>
      <c r="P169" s="7"/>
      <c r="Q169" s="154" t="e">
        <f>Q81</f>
        <v>#DIV/0!</v>
      </c>
      <c r="R169" s="154" t="e">
        <f>R81</f>
        <v>#DIV/0!</v>
      </c>
      <c r="S169" s="154" t="e">
        <f>S81</f>
        <v>#DIV/0!</v>
      </c>
      <c r="T169" s="7"/>
      <c r="U169" s="98"/>
      <c r="V169" s="119"/>
    </row>
    <row r="170" spans="1:22" ht="12.75">
      <c r="A170" s="145" t="s">
        <v>166</v>
      </c>
      <c r="B170" s="253" t="str">
        <f>"Actual "&amp;InputSheet!$I$25&amp;" Traffic"</f>
        <v>Actual 0 Traffic</v>
      </c>
      <c r="C170" s="253"/>
      <c r="D170" s="254"/>
      <c r="E170" s="95"/>
      <c r="F170" s="149">
        <f>-InputSheet!$E$77</f>
        <v>0</v>
      </c>
      <c r="G170" s="149">
        <f>-InputSheet!$E$78</f>
        <v>0</v>
      </c>
      <c r="H170" s="149">
        <f>-InputSheet!$E$79</f>
        <v>0</v>
      </c>
      <c r="I170" s="7"/>
      <c r="J170" s="7"/>
      <c r="K170" s="113"/>
      <c r="L170" s="145" t="s">
        <v>166</v>
      </c>
      <c r="M170" s="253" t="str">
        <f>"Actual "&amp;InputSheet!$I$25&amp;" Traffic"</f>
        <v>Actual 0 Traffic</v>
      </c>
      <c r="N170" s="253"/>
      <c r="O170" s="254"/>
      <c r="P170" s="95"/>
      <c r="Q170" s="149">
        <f>-InputSheet!$E$77</f>
        <v>0</v>
      </c>
      <c r="R170" s="149">
        <f>-InputSheet!$E$78</f>
        <v>0</v>
      </c>
      <c r="S170" s="149">
        <f>-InputSheet!$E$79</f>
        <v>0</v>
      </c>
      <c r="T170" s="7"/>
      <c r="U170" s="7"/>
      <c r="V170" s="113"/>
    </row>
    <row r="171" spans="1:22" ht="12.75">
      <c r="A171" s="142" t="s">
        <v>167</v>
      </c>
      <c r="B171" s="252" t="str">
        <f>"Calculated "&amp;InputSheet!$I$27&amp;" DHV"</f>
        <v>Calculated 0 DHV</v>
      </c>
      <c r="C171" s="252"/>
      <c r="D171" s="252"/>
      <c r="E171" s="247"/>
      <c r="F171" s="249"/>
      <c r="G171" s="222">
        <f>IF(Data!$B$1="no",InputSheet!$C$7,InputSheet!$C$6)</f>
        <v>0</v>
      </c>
      <c r="H171" s="222"/>
      <c r="I171" s="222"/>
      <c r="J171" s="222"/>
      <c r="K171" s="223"/>
      <c r="L171" s="142" t="s">
        <v>167</v>
      </c>
      <c r="M171" s="252" t="str">
        <f>"Calculated "&amp;InputSheet!$I$28&amp;" DHV"</f>
        <v>Calculated 0 DHV</v>
      </c>
      <c r="N171" s="252"/>
      <c r="O171" s="252"/>
      <c r="P171" s="247"/>
      <c r="Q171" s="249"/>
      <c r="R171" s="222">
        <f>IF(Data!$B$1="no",InputSheet!$C$7,InputSheet!$C$6)</f>
        <v>0</v>
      </c>
      <c r="S171" s="222"/>
      <c r="T171" s="222"/>
      <c r="U171" s="222"/>
      <c r="V171" s="223"/>
    </row>
    <row r="172" spans="1:22" ht="13.5" thickBot="1">
      <c r="A172" s="143" t="s">
        <v>165</v>
      </c>
      <c r="B172" s="250" t="s">
        <v>163</v>
      </c>
      <c r="C172" s="250"/>
      <c r="D172" s="251"/>
      <c r="E172" s="121"/>
      <c r="F172" s="121"/>
      <c r="G172" s="122"/>
      <c r="H172" s="121"/>
      <c r="I172" s="121"/>
      <c r="J172" s="121"/>
      <c r="K172" s="123"/>
      <c r="L172" s="143" t="s">
        <v>165</v>
      </c>
      <c r="M172" s="250" t="s">
        <v>163</v>
      </c>
      <c r="N172" s="250"/>
      <c r="O172" s="251"/>
      <c r="P172" s="121"/>
      <c r="Q172" s="121"/>
      <c r="R172" s="122"/>
      <c r="S172" s="121"/>
      <c r="T172" s="121"/>
      <c r="U172" s="121"/>
      <c r="V172" s="123"/>
    </row>
  </sheetData>
  <sheetProtection sheet="1" objects="1" scenarios="1"/>
  <mergeCells count="180">
    <mergeCell ref="A25:E25"/>
    <mergeCell ref="N11:O11"/>
    <mergeCell ref="Q14:R14"/>
    <mergeCell ref="L5:P5"/>
    <mergeCell ref="P20:Q20"/>
    <mergeCell ref="F14:G14"/>
    <mergeCell ref="F5:G5"/>
    <mergeCell ref="Q5:R5"/>
    <mergeCell ref="C11:D11"/>
    <mergeCell ref="E20:F20"/>
    <mergeCell ref="C74:D74"/>
    <mergeCell ref="A1:V1"/>
    <mergeCell ref="E83:F83"/>
    <mergeCell ref="E40:F40"/>
    <mergeCell ref="P40:Q40"/>
    <mergeCell ref="E41:F41"/>
    <mergeCell ref="P41:Q41"/>
    <mergeCell ref="F34:G34"/>
    <mergeCell ref="Q34:R34"/>
    <mergeCell ref="C31:D31"/>
    <mergeCell ref="Q68:R68"/>
    <mergeCell ref="E63:F63"/>
    <mergeCell ref="Q77:R77"/>
    <mergeCell ref="F77:G77"/>
    <mergeCell ref="N74:O74"/>
    <mergeCell ref="E64:F64"/>
    <mergeCell ref="A66:K66"/>
    <mergeCell ref="L66:V66"/>
    <mergeCell ref="J64:K64"/>
    <mergeCell ref="J65:K65"/>
    <mergeCell ref="F57:G57"/>
    <mergeCell ref="N54:O54"/>
    <mergeCell ref="C54:D54"/>
    <mergeCell ref="P63:Q63"/>
    <mergeCell ref="J63:K63"/>
    <mergeCell ref="J61:K61"/>
    <mergeCell ref="J62:K62"/>
    <mergeCell ref="Q57:R57"/>
    <mergeCell ref="A60:E60"/>
    <mergeCell ref="U63:V63"/>
    <mergeCell ref="F48:G48"/>
    <mergeCell ref="A44:V44"/>
    <mergeCell ref="A46:K46"/>
    <mergeCell ref="L46:V46"/>
    <mergeCell ref="Q48:R48"/>
    <mergeCell ref="A48:E48"/>
    <mergeCell ref="L48:P48"/>
    <mergeCell ref="I51:K52"/>
    <mergeCell ref="L60:P60"/>
    <mergeCell ref="U81:V81"/>
    <mergeCell ref="J82:K82"/>
    <mergeCell ref="U82:V82"/>
    <mergeCell ref="B64:C64"/>
    <mergeCell ref="B65:C65"/>
    <mergeCell ref="M64:N64"/>
    <mergeCell ref="M65:N65"/>
    <mergeCell ref="G64:I65"/>
    <mergeCell ref="F68:G68"/>
    <mergeCell ref="P64:Q64"/>
    <mergeCell ref="A88:V88"/>
    <mergeCell ref="N98:O98"/>
    <mergeCell ref="J83:K83"/>
    <mergeCell ref="P83:Q83"/>
    <mergeCell ref="U83:V83"/>
    <mergeCell ref="B84:C84"/>
    <mergeCell ref="E84:F84"/>
    <mergeCell ref="J84:K84"/>
    <mergeCell ref="M84:N84"/>
    <mergeCell ref="P84:Q84"/>
    <mergeCell ref="P171:Q171"/>
    <mergeCell ref="M152:O152"/>
    <mergeCell ref="A153:K153"/>
    <mergeCell ref="L153:V153"/>
    <mergeCell ref="F155:G155"/>
    <mergeCell ref="Q155:R155"/>
    <mergeCell ref="I158:K159"/>
    <mergeCell ref="T158:V159"/>
    <mergeCell ref="B152:D152"/>
    <mergeCell ref="C161:D161"/>
    <mergeCell ref="R151:V151"/>
    <mergeCell ref="F164:G164"/>
    <mergeCell ref="Q164:R164"/>
    <mergeCell ref="L167:P167"/>
    <mergeCell ref="N161:O161"/>
    <mergeCell ref="P151:Q151"/>
    <mergeCell ref="B150:D150"/>
    <mergeCell ref="B151:D151"/>
    <mergeCell ref="M150:O150"/>
    <mergeCell ref="B112:D112"/>
    <mergeCell ref="C141:D141"/>
    <mergeCell ref="N141:O141"/>
    <mergeCell ref="C118:D118"/>
    <mergeCell ref="A133:K133"/>
    <mergeCell ref="L133:V133"/>
    <mergeCell ref="T138:V139"/>
    <mergeCell ref="F135:G135"/>
    <mergeCell ref="Q135:R135"/>
    <mergeCell ref="Q144:R144"/>
    <mergeCell ref="F144:G144"/>
    <mergeCell ref="N118:O118"/>
    <mergeCell ref="L124:N124"/>
    <mergeCell ref="A131:V131"/>
    <mergeCell ref="A124:C124"/>
    <mergeCell ref="S119:T121"/>
    <mergeCell ref="H119:I121"/>
    <mergeCell ref="A90:K90"/>
    <mergeCell ref="L90:V90"/>
    <mergeCell ref="A110:K110"/>
    <mergeCell ref="L110:V110"/>
    <mergeCell ref="M92:O92"/>
    <mergeCell ref="B92:D92"/>
    <mergeCell ref="C98:D98"/>
    <mergeCell ref="A104:C104"/>
    <mergeCell ref="S99:T101"/>
    <mergeCell ref="L104:N104"/>
    <mergeCell ref="B172:D172"/>
    <mergeCell ref="M172:O172"/>
    <mergeCell ref="M151:O151"/>
    <mergeCell ref="B171:D171"/>
    <mergeCell ref="M171:O171"/>
    <mergeCell ref="B170:D170"/>
    <mergeCell ref="M170:O170"/>
    <mergeCell ref="E171:F171"/>
    <mergeCell ref="E151:F151"/>
    <mergeCell ref="A167:E167"/>
    <mergeCell ref="A37:C38"/>
    <mergeCell ref="R21:V21"/>
    <mergeCell ref="A5:E5"/>
    <mergeCell ref="I8:K9"/>
    <mergeCell ref="A17:C18"/>
    <mergeCell ref="G21:K21"/>
    <mergeCell ref="P21:Q21"/>
    <mergeCell ref="F25:G25"/>
    <mergeCell ref="Q25:R25"/>
    <mergeCell ref="E21:F21"/>
    <mergeCell ref="R41:V41"/>
    <mergeCell ref="G41:K41"/>
    <mergeCell ref="T8:V9"/>
    <mergeCell ref="T28:V29"/>
    <mergeCell ref="I28:K29"/>
    <mergeCell ref="L17:N18"/>
    <mergeCell ref="L37:N38"/>
    <mergeCell ref="L25:P25"/>
    <mergeCell ref="N31:O31"/>
    <mergeCell ref="H99:I101"/>
    <mergeCell ref="E95:G97"/>
    <mergeCell ref="P95:R97"/>
    <mergeCell ref="P115:R117"/>
    <mergeCell ref="E115:G117"/>
    <mergeCell ref="M112:O112"/>
    <mergeCell ref="A68:E68"/>
    <mergeCell ref="L68:P68"/>
    <mergeCell ref="B85:C85"/>
    <mergeCell ref="J85:K85"/>
    <mergeCell ref="M85:N85"/>
    <mergeCell ref="L80:P80"/>
    <mergeCell ref="A80:E80"/>
    <mergeCell ref="G84:I85"/>
    <mergeCell ref="I71:K72"/>
    <mergeCell ref="J81:K81"/>
    <mergeCell ref="R84:T85"/>
    <mergeCell ref="R64:T65"/>
    <mergeCell ref="T51:V52"/>
    <mergeCell ref="T71:V72"/>
    <mergeCell ref="U84:V84"/>
    <mergeCell ref="U85:V85"/>
    <mergeCell ref="U64:V64"/>
    <mergeCell ref="U65:V65"/>
    <mergeCell ref="U61:V61"/>
    <mergeCell ref="U62:V62"/>
    <mergeCell ref="R171:V171"/>
    <mergeCell ref="G171:K171"/>
    <mergeCell ref="A135:E135"/>
    <mergeCell ref="L135:P135"/>
    <mergeCell ref="L155:P155"/>
    <mergeCell ref="A155:E155"/>
    <mergeCell ref="I138:K139"/>
    <mergeCell ref="A147:E147"/>
    <mergeCell ref="L147:P147"/>
    <mergeCell ref="G151:K151"/>
  </mergeCells>
  <printOptions/>
  <pageMargins left="0.75" right="0.54" top="0.72" bottom="1" header="0.5" footer="0.5"/>
  <pageSetup horizontalDpi="600" verticalDpi="600" orientation="landscape" scale="85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I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8.28125" style="0" customWidth="1"/>
    <col min="2" max="2" width="10.57421875" style="0" bestFit="1" customWidth="1"/>
    <col min="7" max="7" width="10.57421875" style="0" bestFit="1" customWidth="1"/>
  </cols>
  <sheetData>
    <row r="1" spans="1:9" ht="12.75">
      <c r="A1" t="s">
        <v>16</v>
      </c>
      <c r="B1" s="162" t="s">
        <v>218</v>
      </c>
      <c r="C1" t="s">
        <v>195</v>
      </c>
      <c r="F1" s="162" t="s">
        <v>218</v>
      </c>
      <c r="I1" t="s">
        <v>250</v>
      </c>
    </row>
    <row r="2" spans="1:9" ht="12.75">
      <c r="A2" t="s">
        <v>18</v>
      </c>
      <c r="B2" s="162" t="s">
        <v>218</v>
      </c>
      <c r="I2" t="s">
        <v>220</v>
      </c>
    </row>
    <row r="3" spans="1:3" ht="12.75">
      <c r="A3" t="s">
        <v>169</v>
      </c>
      <c r="B3" s="162">
        <v>4</v>
      </c>
      <c r="C3" t="s">
        <v>170</v>
      </c>
    </row>
    <row r="4" spans="1:5" ht="12.75">
      <c r="A4" t="s">
        <v>171</v>
      </c>
      <c r="B4" s="162">
        <v>1</v>
      </c>
      <c r="C4" s="162">
        <v>0</v>
      </c>
      <c r="D4" s="162">
        <v>0</v>
      </c>
      <c r="E4" s="162">
        <v>1</v>
      </c>
    </row>
    <row r="5" spans="1:5" ht="12.75">
      <c r="A5" t="s">
        <v>172</v>
      </c>
      <c r="B5" s="162">
        <v>0</v>
      </c>
      <c r="C5" s="162">
        <v>1</v>
      </c>
      <c r="D5" s="162">
        <v>1</v>
      </c>
      <c r="E5" s="162">
        <v>1</v>
      </c>
    </row>
    <row r="6" spans="1:2" ht="12.75">
      <c r="A6" t="s">
        <v>177</v>
      </c>
      <c r="B6" s="162" t="s">
        <v>251</v>
      </c>
    </row>
    <row r="7" spans="1:2" ht="12.75">
      <c r="A7" t="s">
        <v>173</v>
      </c>
      <c r="B7" s="162" t="s">
        <v>199</v>
      </c>
    </row>
    <row r="8" spans="2:4" ht="12.75">
      <c r="B8">
        <v>1</v>
      </c>
      <c r="C8">
        <v>1</v>
      </c>
      <c r="D8" t="s">
        <v>213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3"/>
  </sheetPr>
  <dimension ref="A1:S29"/>
  <sheetViews>
    <sheetView zoomScalePageLayoutView="0" workbookViewId="0" topLeftCell="J1">
      <selection activeCell="R6" sqref="R6"/>
    </sheetView>
  </sheetViews>
  <sheetFormatPr defaultColWidth="9.140625" defaultRowHeight="12.75"/>
  <cols>
    <col min="1" max="1" width="11.57421875" style="0" customWidth="1"/>
    <col min="5" max="5" width="16.8515625" style="0" customWidth="1"/>
    <col min="6" max="6" width="19.28125" style="0" customWidth="1"/>
    <col min="7" max="7" width="22.00390625" style="0" customWidth="1"/>
    <col min="8" max="8" width="20.7109375" style="0" customWidth="1"/>
    <col min="9" max="9" width="17.57421875" style="0" customWidth="1"/>
    <col min="10" max="10" width="16.8515625" style="0" customWidth="1"/>
    <col min="11" max="11" width="17.140625" style="0" customWidth="1"/>
    <col min="12" max="12" width="16.421875" style="0" customWidth="1"/>
    <col min="13" max="13" width="17.57421875" style="0" customWidth="1"/>
    <col min="14" max="14" width="15.7109375" style="0" customWidth="1"/>
    <col min="15" max="15" width="17.00390625" style="0" customWidth="1"/>
    <col min="16" max="18" width="17.28125" style="0" customWidth="1"/>
    <col min="19" max="19" width="50.8515625" style="0" customWidth="1"/>
  </cols>
  <sheetData>
    <row r="1" spans="2:19" ht="12.75">
      <c r="B1" t="s">
        <v>221</v>
      </c>
      <c r="C1" t="s">
        <v>222</v>
      </c>
      <c r="D1" t="s">
        <v>223</v>
      </c>
      <c r="E1" t="s">
        <v>228</v>
      </c>
      <c r="F1" t="s">
        <v>230</v>
      </c>
      <c r="G1" t="s">
        <v>231</v>
      </c>
      <c r="H1" t="s">
        <v>239</v>
      </c>
      <c r="I1" t="s">
        <v>240</v>
      </c>
      <c r="J1" t="s">
        <v>241</v>
      </c>
      <c r="K1" t="s">
        <v>242</v>
      </c>
      <c r="L1" t="s">
        <v>243</v>
      </c>
      <c r="M1" t="s">
        <v>244</v>
      </c>
      <c r="N1" t="s">
        <v>245</v>
      </c>
      <c r="O1" t="s">
        <v>246</v>
      </c>
      <c r="P1" t="s">
        <v>247</v>
      </c>
      <c r="Q1" t="s">
        <v>248</v>
      </c>
      <c r="R1" t="s">
        <v>249</v>
      </c>
      <c r="S1" t="s">
        <v>2</v>
      </c>
    </row>
    <row r="2" spans="1:18" ht="12.75">
      <c r="A2" t="s">
        <v>224</v>
      </c>
      <c r="B2" s="22">
        <f>InputSheet!I25</f>
        <v>0</v>
      </c>
      <c r="C2" s="180">
        <f>InputSheet!C16*100</f>
        <v>7.000000000000001</v>
      </c>
      <c r="D2" s="180">
        <f>InputSheet!C18*100</f>
        <v>7.000000000000001</v>
      </c>
      <c r="E2" s="22">
        <f>TurnSheets!G61</f>
        <v>0</v>
      </c>
      <c r="F2" s="22">
        <f>TurnSheets!H61</f>
        <v>0</v>
      </c>
      <c r="G2" s="22">
        <f>TurnSheets!F61</f>
        <v>0</v>
      </c>
      <c r="H2" s="22">
        <f>TurnSheets!E51</f>
        <v>0</v>
      </c>
      <c r="I2" s="22">
        <f>TurnSheets!D51</f>
        <v>0</v>
      </c>
      <c r="J2" s="22">
        <f>TurnSheets!F51</f>
        <v>0</v>
      </c>
      <c r="K2" s="22">
        <f>TurnSheets!C57</f>
        <v>0</v>
      </c>
      <c r="L2" s="22">
        <f>TurnSheets!C58</f>
        <v>0</v>
      </c>
      <c r="M2" s="22">
        <f>TurnSheets!C56</f>
        <v>0</v>
      </c>
      <c r="N2" s="22">
        <f>TurnSheets!I54</f>
        <v>0</v>
      </c>
      <c r="O2" s="22">
        <f>TurnSheets!I53</f>
        <v>0</v>
      </c>
      <c r="P2" s="22">
        <f>TurnSheets!I55</f>
        <v>0</v>
      </c>
      <c r="Q2" s="22">
        <f>InputSheet!C6</f>
        <v>0</v>
      </c>
      <c r="R2" s="22">
        <f>InputSheet!C7</f>
        <v>0</v>
      </c>
    </row>
    <row r="3" spans="1:18" ht="12.75">
      <c r="A3" t="s">
        <v>225</v>
      </c>
      <c r="B3" s="22">
        <f>InputSheet!I26</f>
        <v>0</v>
      </c>
      <c r="C3" s="180">
        <f>InputSheet!C16*100</f>
        <v>7.000000000000001</v>
      </c>
      <c r="D3" s="180">
        <f>InputSheet!C18*100</f>
        <v>7.000000000000001</v>
      </c>
      <c r="E3" s="22" t="e">
        <f>TurnSheets!R61</f>
        <v>#DIV/0!</v>
      </c>
      <c r="F3" s="22" t="e">
        <f>TurnSheets!S61</f>
        <v>#DIV/0!</v>
      </c>
      <c r="G3" s="22" t="e">
        <f>TurnSheets!Q61</f>
        <v>#DIV/0!</v>
      </c>
      <c r="H3" s="22" t="e">
        <f>TurnSheets!P51</f>
        <v>#DIV/0!</v>
      </c>
      <c r="I3" s="22" t="e">
        <f>TurnSheets!O51</f>
        <v>#DIV/0!</v>
      </c>
      <c r="J3" s="22" t="e">
        <f>TurnSheets!Q51</f>
        <v>#DIV/0!</v>
      </c>
      <c r="K3" s="22" t="e">
        <f>TurnSheets!N57</f>
        <v>#DIV/0!</v>
      </c>
      <c r="L3" s="22" t="e">
        <f>TurnSheets!N58</f>
        <v>#DIV/0!</v>
      </c>
      <c r="M3" s="22" t="e">
        <f>TurnSheets!N56</f>
        <v>#DIV/0!</v>
      </c>
      <c r="N3" s="22" t="e">
        <f>TurnSheets!T54</f>
        <v>#DIV/0!</v>
      </c>
      <c r="O3" s="22" t="e">
        <f>TurnSheets!T53</f>
        <v>#DIV/0!</v>
      </c>
      <c r="P3" s="22" t="e">
        <f>TurnSheets!T55</f>
        <v>#DIV/0!</v>
      </c>
      <c r="Q3" s="22">
        <f>InputSheet!C6</f>
        <v>0</v>
      </c>
      <c r="R3" s="22">
        <f>InputSheet!C7</f>
        <v>0</v>
      </c>
    </row>
    <row r="4" spans="1:18" ht="12.75">
      <c r="A4" t="s">
        <v>229</v>
      </c>
      <c r="B4" s="22">
        <f>InputSheet!I27</f>
        <v>0</v>
      </c>
      <c r="C4" s="180">
        <f>InputSheet!C16*100</f>
        <v>7.000000000000001</v>
      </c>
      <c r="D4" s="180">
        <f>InputSheet!C18*100</f>
        <v>7.000000000000001</v>
      </c>
      <c r="E4" s="22" t="e">
        <f>TurnSheets!G81</f>
        <v>#DIV/0!</v>
      </c>
      <c r="F4" s="22" t="e">
        <f>TurnSheets!H81</f>
        <v>#DIV/0!</v>
      </c>
      <c r="G4" s="22" t="e">
        <f>TurnSheets!F81</f>
        <v>#DIV/0!</v>
      </c>
      <c r="H4" s="22" t="e">
        <f>TurnSheets!E71</f>
        <v>#DIV/0!</v>
      </c>
      <c r="I4" s="22" t="e">
        <f>TurnSheets!D71</f>
        <v>#DIV/0!</v>
      </c>
      <c r="J4" s="22" t="e">
        <f>TurnSheets!F71</f>
        <v>#DIV/0!</v>
      </c>
      <c r="K4" s="22" t="e">
        <f>TurnSheets!C77</f>
        <v>#DIV/0!</v>
      </c>
      <c r="L4" s="22" t="e">
        <f>TurnSheets!C78</f>
        <v>#DIV/0!</v>
      </c>
      <c r="M4" s="22" t="e">
        <f>TurnSheets!C76</f>
        <v>#DIV/0!</v>
      </c>
      <c r="N4" s="22" t="e">
        <f>TurnSheets!I74</f>
        <v>#DIV/0!</v>
      </c>
      <c r="O4" s="22" t="e">
        <f>TurnSheets!I73</f>
        <v>#DIV/0!</v>
      </c>
      <c r="P4" s="22" t="e">
        <f>TurnSheets!I75</f>
        <v>#DIV/0!</v>
      </c>
      <c r="Q4" s="22">
        <f>InputSheet!C6</f>
        <v>0</v>
      </c>
      <c r="R4" s="22">
        <f>InputSheet!C7</f>
        <v>0</v>
      </c>
    </row>
    <row r="5" spans="1:18" ht="12.75">
      <c r="A5" t="s">
        <v>226</v>
      </c>
      <c r="B5" s="22">
        <f>InputSheet!I28</f>
        <v>0</v>
      </c>
      <c r="C5" s="180">
        <f>InputSheet!C16*100</f>
        <v>7.000000000000001</v>
      </c>
      <c r="D5" s="180">
        <f>InputSheet!C18*100</f>
        <v>7.000000000000001</v>
      </c>
      <c r="E5" s="22" t="e">
        <f>TurnSheets!R81</f>
        <v>#DIV/0!</v>
      </c>
      <c r="F5" s="22" t="e">
        <f>TurnSheets!S81</f>
        <v>#DIV/0!</v>
      </c>
      <c r="G5" s="22" t="e">
        <f>TurnSheets!Q81</f>
        <v>#DIV/0!</v>
      </c>
      <c r="H5" s="22" t="e">
        <f>TurnSheets!P71</f>
        <v>#DIV/0!</v>
      </c>
      <c r="I5" s="22" t="e">
        <f>TurnSheets!O71</f>
        <v>#DIV/0!</v>
      </c>
      <c r="J5" s="22" t="e">
        <f>TurnSheets!Q71</f>
        <v>#DIV/0!</v>
      </c>
      <c r="K5" s="22" t="e">
        <f>TurnSheets!N77</f>
        <v>#DIV/0!</v>
      </c>
      <c r="L5" s="22" t="e">
        <f>TurnSheets!N78</f>
        <v>#DIV/0!</v>
      </c>
      <c r="M5" s="22" t="e">
        <f>TurnSheets!N76</f>
        <v>#DIV/0!</v>
      </c>
      <c r="N5" s="22" t="e">
        <f>TurnSheets!T74</f>
        <v>#DIV/0!</v>
      </c>
      <c r="O5" s="22" t="e">
        <f>TurnSheets!T73</f>
        <v>#DIV/0!</v>
      </c>
      <c r="P5" s="22" t="e">
        <f>TurnSheets!T75</f>
        <v>#DIV/0!</v>
      </c>
      <c r="Q5" s="22">
        <f>InputSheet!C6</f>
        <v>0</v>
      </c>
      <c r="R5" s="22">
        <f>InputSheet!C7</f>
        <v>0</v>
      </c>
    </row>
    <row r="26" spans="1:2" ht="12.75">
      <c r="A26" t="s">
        <v>227</v>
      </c>
      <c r="B26" t="s">
        <v>232</v>
      </c>
    </row>
    <row r="27" spans="1:2" ht="12.75">
      <c r="A27" t="s">
        <v>233</v>
      </c>
      <c r="B27" t="s">
        <v>234</v>
      </c>
    </row>
    <row r="28" spans="1:2" ht="12.75">
      <c r="A28" t="s">
        <v>235</v>
      </c>
      <c r="B28" t="s">
        <v>236</v>
      </c>
    </row>
    <row r="29" spans="1:2" ht="12.75">
      <c r="A29" t="s">
        <v>237</v>
      </c>
      <c r="B29" t="s">
        <v>238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CH2M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Bloomberg</dc:creator>
  <cp:keywords/>
  <dc:description/>
  <cp:lastModifiedBy>Mohammad Ghanim</cp:lastModifiedBy>
  <cp:lastPrinted>2006-03-09T16:03:47Z</cp:lastPrinted>
  <dcterms:created xsi:type="dcterms:W3CDTF">1999-09-01T14:58:01Z</dcterms:created>
  <dcterms:modified xsi:type="dcterms:W3CDTF">2009-03-04T13:47:03Z</dcterms:modified>
  <cp:category/>
  <cp:version/>
  <cp:contentType/>
  <cp:contentStatus/>
</cp:coreProperties>
</file>